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I:\Projects\Trails\1_Projects\4_FolsomTrail\1_Public_Involvement\Spring 2020 Survey and Mailer\Survey\Results\"/>
    </mc:Choice>
  </mc:AlternateContent>
  <xr:revisionPtr revIDLastSave="0" documentId="13_ncr:1_{B50E208F-A39A-4465-919F-ED681F301DD2}" xr6:coauthVersionLast="44" xr6:coauthVersionMax="44" xr10:uidLastSave="{00000000-0000-0000-0000-000000000000}"/>
  <bookViews>
    <workbookView xWindow="-25320" yWindow="180" windowWidth="25440" windowHeight="15990" tabRatio="818" xr2:uid="{0102BA64-DD83-42EC-937C-9205558D01E6}"/>
  </bookViews>
  <sheets>
    <sheet name="Overall Option Prioritization" sheetId="1" r:id="rId1"/>
    <sheet name="Overall Demographics" sheetId="3" r:id="rId2"/>
    <sheet name="Westside Option Prior." sheetId="6" r:id="rId3"/>
    <sheet name="Westside Demographics" sheetId="7" r:id="rId4"/>
    <sheet name="Trail User Option Prior." sheetId="8" r:id="rId5"/>
    <sheet name="Trail User Demographics" sheetId="9" r:id="rId6"/>
    <sheet name="Resident-Business Option Prior." sheetId="4" r:id="rId7"/>
    <sheet name="Resident-Business Demographics" sheetId="5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9" i="8" l="1"/>
  <c r="E8" i="8"/>
  <c r="E7" i="8"/>
  <c r="E6" i="8"/>
  <c r="E5" i="8"/>
  <c r="E4" i="8"/>
  <c r="C9" i="8"/>
  <c r="C8" i="8"/>
  <c r="C7" i="8"/>
  <c r="C6" i="8"/>
  <c r="C5" i="8"/>
  <c r="C4" i="8"/>
  <c r="O9" i="8"/>
  <c r="O8" i="8"/>
  <c r="O7" i="8"/>
  <c r="O6" i="8"/>
  <c r="O5" i="8"/>
  <c r="O4" i="8"/>
  <c r="L9" i="8"/>
  <c r="L8" i="8"/>
  <c r="L7" i="8"/>
  <c r="L6" i="8"/>
  <c r="L5" i="8"/>
  <c r="L4" i="8"/>
  <c r="I9" i="8"/>
  <c r="I8" i="8"/>
  <c r="I7" i="8"/>
  <c r="I6" i="8"/>
  <c r="I5" i="8"/>
  <c r="I4" i="8"/>
  <c r="E9" i="6"/>
  <c r="E8" i="6"/>
  <c r="E7" i="6"/>
  <c r="E6" i="6"/>
  <c r="E5" i="6"/>
  <c r="E4" i="6"/>
  <c r="C9" i="6"/>
  <c r="C8" i="6"/>
  <c r="C7" i="6"/>
  <c r="C6" i="6"/>
  <c r="C5" i="6"/>
  <c r="C4" i="6"/>
  <c r="O9" i="6" l="1"/>
  <c r="O8" i="6"/>
  <c r="O7" i="6"/>
  <c r="O6" i="6"/>
  <c r="O5" i="6"/>
  <c r="O4" i="6"/>
  <c r="L9" i="6"/>
  <c r="L8" i="6"/>
  <c r="L7" i="6"/>
  <c r="L6" i="6"/>
  <c r="L5" i="6"/>
  <c r="L4" i="6"/>
  <c r="I9" i="6"/>
  <c r="I8" i="6"/>
  <c r="I7" i="6"/>
  <c r="I6" i="6"/>
  <c r="I5" i="6"/>
  <c r="I4" i="6"/>
  <c r="E9" i="4"/>
  <c r="E8" i="4"/>
  <c r="E7" i="4"/>
  <c r="E6" i="4"/>
  <c r="E5" i="4"/>
  <c r="E4" i="4"/>
  <c r="E4" i="1"/>
  <c r="E5" i="1"/>
  <c r="E6" i="1"/>
  <c r="E7" i="1"/>
  <c r="E8" i="1"/>
  <c r="E9" i="1"/>
  <c r="C9" i="4"/>
  <c r="C8" i="4"/>
  <c r="C7" i="4"/>
  <c r="C6" i="4"/>
  <c r="C5" i="4"/>
  <c r="C4" i="4"/>
  <c r="O9" i="4"/>
  <c r="O8" i="4"/>
  <c r="O7" i="4"/>
  <c r="O6" i="4"/>
  <c r="O5" i="4"/>
  <c r="O4" i="4"/>
  <c r="L9" i="4"/>
  <c r="L8" i="4"/>
  <c r="L7" i="4"/>
  <c r="L6" i="4"/>
  <c r="L5" i="4"/>
  <c r="L4" i="4"/>
  <c r="I9" i="4"/>
  <c r="I8" i="4"/>
  <c r="I7" i="4"/>
  <c r="I6" i="4"/>
  <c r="I5" i="4"/>
  <c r="I4" i="4"/>
  <c r="O9" i="1"/>
  <c r="O8" i="1"/>
  <c r="O7" i="1"/>
  <c r="O6" i="1"/>
  <c r="O5" i="1"/>
  <c r="O4" i="1"/>
  <c r="L9" i="1"/>
  <c r="L8" i="1"/>
  <c r="L7" i="1"/>
  <c r="L6" i="1"/>
  <c r="L5" i="1"/>
  <c r="L4" i="1"/>
  <c r="I9" i="1"/>
  <c r="I8" i="1"/>
  <c r="I7" i="1"/>
  <c r="I6" i="1"/>
  <c r="I5" i="1"/>
  <c r="I4" i="1"/>
  <c r="C9" i="1"/>
  <c r="C8" i="1"/>
  <c r="C7" i="1"/>
  <c r="C6" i="1"/>
  <c r="C5" i="1"/>
  <c r="C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tc={DAB46B4F-CDCE-448E-9D87-AA98E7D80E89}</author>
    <author>tc={D6332802-AEA7-4355-9AAF-807B42B053DD}</author>
    <author>tc={278D5791-45A3-409F-905B-DA04A33AE955}</author>
    <author>tc={FD924396-F636-46CE-B823-AD1810607A62}</author>
    <author>tc={FE32D1B9-07AE-49D2-A706-0F79B155C85C}</author>
    <author>tc={8D7C9D3A-F7B0-44CA-BC4D-870BEB2F7642}</author>
  </authors>
  <commentList>
    <comment ref="N1" authorId="0" shapeId="0" xr:uid="{DAB46B4F-CDCE-448E-9D87-AA98E7D80E89}">
      <text>
        <t>[Threaded comment]
Your version of Excel allows you to read this threaded comment; however, any edits to it will get removed if the file is opened in a newer version of Excel. Learn more: https://go.microsoft.com/fwlink/?linkid=870924
Comment:
    May indicate that people did not want to spend 2/3 of their budget on lighting and that it's not 2x more desired than any other option.</t>
      </text>
    </comment>
    <comment ref="K2" authorId="1" shapeId="0" xr:uid="{D6332802-AEA7-4355-9AAF-807B42B053DD}">
      <text>
        <t>[Threaded comment]
Your version of Excel allows you to read this threaded comment; however, any edits to it will get removed if the file is opened in a newer version of Excel. Learn more: https://go.microsoft.com/fwlink/?linkid=870924
Comment:
    Trail users tend to favor this option even more than the overall.</t>
      </text>
    </comment>
    <comment ref="E3" authorId="2" shapeId="0" xr:uid="{278D5791-45A3-409F-905B-DA04A33AE955}">
      <text>
        <t>[Threaded comment]
Your version of Excel allows you to read this threaded comment; however, any edits to it will get removed if the file is opened in a newer version of Excel. Learn more: https://go.microsoft.com/fwlink/?linkid=870924
Comment:
    Asked to rank/prioritize 1-6. The lowest mean, then, was the "highest ranked". I have provided the inverse here so that the highest number is the highest ranked. This will help with bar charts and other graphs, too.</t>
      </text>
    </comment>
    <comment ref="I3" authorId="3" shapeId="0" xr:uid="{FD924396-F636-46CE-B823-AD1810607A62}">
      <text>
        <t>[Threaded comment]
Your version of Excel allows you to read this threaded comment; however, any edits to it will get removed if the file is opened in a newer version of Excel. Learn more: https://go.microsoft.com/fwlink/?linkid=870924
Comment:
    Asked to rank/prioritize 1-6. The lowest mean, then, was the "highest ranked". I have provided the inverse here so that the highest number is the highest ranked. This will help with bar charts and other graphs, too.</t>
      </text>
    </comment>
    <comment ref="L3" authorId="4" shapeId="0" xr:uid="{FE32D1B9-07AE-49D2-A706-0F79B155C85C}">
      <text>
        <t>[Threaded comment]
Your version of Excel allows you to read this threaded comment; however, any edits to it will get removed if the file is opened in a newer version of Excel. Learn more: https://go.microsoft.com/fwlink/?linkid=870924
Comment:
    Asked to rank/prioritize 1-6. The lowest mean, then, was the "highest ranked". I have provided the inverse here so that the highest number is the highest ranked. This will help with bar charts and other graphs, too.</t>
      </text>
    </comment>
    <comment ref="O3" authorId="5" shapeId="0" xr:uid="{8D7C9D3A-F7B0-44CA-BC4D-870BEB2F7642}">
      <text>
        <t>[Threaded comment]
Your version of Excel allows you to read this threaded comment; however, any edits to it will get removed if the file is opened in a newer version of Excel. Learn more: https://go.microsoft.com/fwlink/?linkid=870924
Comment:
    Asked to rank/prioritize 1-6. The lowest mean, then, was the "highest ranked". I have provided the inverse here so that the highest number is the highest ranked. This will help with bar charts and other graphs, too.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tc={FA5ACE7C-C20A-49C9-8F02-C38F79168200}</author>
    <author>tc={6EA97602-5ABA-405D-845E-AB8642D13DAF}</author>
    <author>tc={96FF94AE-82B7-4F2F-AC1C-31B7236AC1A5}</author>
    <author>tc={CF53023B-431E-44A2-B1E5-48F9912305BD}</author>
    <author>tc={86379357-8A97-456D-87F8-E4F1734FF3DE}</author>
  </authors>
  <commentList>
    <comment ref="N1" authorId="0" shapeId="0" xr:uid="{FA5ACE7C-C20A-49C9-8F02-C38F79168200}">
      <text>
        <t>[Threaded comment]
Your version of Excel allows you to read this threaded comment; however, any edits to it will get removed if the file is opened in a newer version of Excel. Learn more: https://go.microsoft.com/fwlink/?linkid=870924
Comment:
    May indicate that people did not want to spend 2/3 of their budget on lighting and that it's not 2x more desired than any other option.</t>
      </text>
    </comment>
    <comment ref="E3" authorId="1" shapeId="0" xr:uid="{6EA97602-5ABA-405D-845E-AB8642D13DAF}">
      <text>
        <t>[Threaded comment]
Your version of Excel allows you to read this threaded comment; however, any edits to it will get removed if the file is opened in a newer version of Excel. Learn more: https://go.microsoft.com/fwlink/?linkid=870924
Comment:
    Asked to rank/prioritize 1-6. The lowest mean, then, was the "highest ranked". I have provided the inverse here so that the highest number is the highest ranked. This will help with bar charts and other graphs, too.</t>
      </text>
    </comment>
    <comment ref="I3" authorId="2" shapeId="0" xr:uid="{96FF94AE-82B7-4F2F-AC1C-31B7236AC1A5}">
      <text>
        <t>[Threaded comment]
Your version of Excel allows you to read this threaded comment; however, any edits to it will get removed if the file is opened in a newer version of Excel. Learn more: https://go.microsoft.com/fwlink/?linkid=870924
Comment:
    Asked to rank/prioritize 1-6. The lowest mean, then, was the "highest ranked". I have provided the inverse here so that the highest number is the highest ranked. This will help with bar charts and other graphs, too.</t>
      </text>
    </comment>
    <comment ref="L3" authorId="3" shapeId="0" xr:uid="{CF53023B-431E-44A2-B1E5-48F9912305BD}">
      <text>
        <t>[Threaded comment]
Your version of Excel allows you to read this threaded comment; however, any edits to it will get removed if the file is opened in a newer version of Excel. Learn more: https://go.microsoft.com/fwlink/?linkid=870924
Comment:
    Asked to rank/prioritize 1-6. The lowest mean, then, was the "highest ranked". I have provided the inverse here so that the highest number is the highest ranked. This will help with bar charts and other graphs, too.</t>
      </text>
    </comment>
    <comment ref="O3" authorId="4" shapeId="0" xr:uid="{86379357-8A97-456D-87F8-E4F1734FF3DE}">
      <text>
        <t>[Threaded comment]
Your version of Excel allows you to read this threaded comment; however, any edits to it will get removed if the file is opened in a newer version of Excel. Learn more: https://go.microsoft.com/fwlink/?linkid=870924
Comment:
    Asked to rank/prioritize 1-6. The lowest mean, then, was the "highest ranked". I have provided the inverse here so that the highest number is the highest ranked. This will help with bar charts and other graphs, too.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tc={A6EB03AE-FE67-4B86-B4D6-8A07AE7D754D}</author>
    <author>tc={2722D53A-C408-45B9-92F2-BA946F52498D}</author>
    <author>tc={FDB29C00-276A-4EBF-979D-3DAB2AA1BDC8}</author>
    <author>tc={E169C10F-72AF-4221-9CC4-073071DCF52E}</author>
    <author>tc={37D83A4C-BF3E-446B-8334-8557132BE3E3}</author>
  </authors>
  <commentList>
    <comment ref="N1" authorId="0" shapeId="0" xr:uid="{A6EB03AE-FE67-4B86-B4D6-8A07AE7D754D}">
      <text>
        <t>[Threaded comment]
Your version of Excel allows you to read this threaded comment; however, any edits to it will get removed if the file is opened in a newer version of Excel. Learn more: https://go.microsoft.com/fwlink/?linkid=870924
Comment:
    May indicate that people did not want to spend 2/3 of their budget on lighting and that it's not 2x more desired than any other option.</t>
      </text>
    </comment>
    <comment ref="E3" authorId="1" shapeId="0" xr:uid="{2722D53A-C408-45B9-92F2-BA946F52498D}">
      <text>
        <t>[Threaded comment]
Your version of Excel allows you to read this threaded comment; however, any edits to it will get removed if the file is opened in a newer version of Excel. Learn more: https://go.microsoft.com/fwlink/?linkid=870924
Comment:
    Asked to rank/prioritize 1-6. The lowest mean, then, was the "highest ranked". I have provided the inverse here so that the highest number is the highest ranked. This will help with bar charts and other graphs, too.</t>
      </text>
    </comment>
    <comment ref="I3" authorId="2" shapeId="0" xr:uid="{FDB29C00-276A-4EBF-979D-3DAB2AA1BDC8}">
      <text>
        <t>[Threaded comment]
Your version of Excel allows you to read this threaded comment; however, any edits to it will get removed if the file is opened in a newer version of Excel. Learn more: https://go.microsoft.com/fwlink/?linkid=870924
Comment:
    Asked to rank/prioritize 1-6. The lowest mean, then, was the "highest ranked". I have provided the inverse here so that the highest number is the highest ranked. This will help with bar charts and other graphs, too.</t>
      </text>
    </comment>
    <comment ref="L3" authorId="3" shapeId="0" xr:uid="{E169C10F-72AF-4221-9CC4-073071DCF52E}">
      <text>
        <t>[Threaded comment]
Your version of Excel allows you to read this threaded comment; however, any edits to it will get removed if the file is opened in a newer version of Excel. Learn more: https://go.microsoft.com/fwlink/?linkid=870924
Comment:
    Asked to rank/prioritize 1-6. The lowest mean, then, was the "highest ranked". I have provided the inverse here so that the highest number is the highest ranked. This will help with bar charts and other graphs, too.</t>
      </text>
    </comment>
    <comment ref="O3" authorId="4" shapeId="0" xr:uid="{37D83A4C-BF3E-446B-8334-8557132BE3E3}">
      <text>
        <t>[Threaded comment]
Your version of Excel allows you to read this threaded comment; however, any edits to it will get removed if the file is opened in a newer version of Excel. Learn more: https://go.microsoft.com/fwlink/?linkid=870924
Comment:
    Asked to rank/prioritize 1-6. The lowest mean, then, was the "highest ranked". I have provided the inverse here so that the highest number is the highest ranked. This will help with bar charts and other graphs, too.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tc={9D0D0EF3-7354-4454-B32E-BDBCFA8E7FC1}</author>
    <author>tc={71E21751-937F-465D-B36E-81AFE2739ED5}</author>
    <author>tc={BC2A45F5-E0B8-426E-A8BB-1CA3BE392AFD}</author>
    <author>tc={1FE516EE-7F1E-45E3-9DC1-99D121472FB2}</author>
    <author>tc={9CBC3B67-89CA-4C1A-A3C4-60FFDE367A04}</author>
  </authors>
  <commentList>
    <comment ref="N1" authorId="0" shapeId="0" xr:uid="{9D0D0EF3-7354-4454-B32E-BDBCFA8E7FC1}">
      <text>
        <t>[Threaded comment]
Your version of Excel allows you to read this threaded comment; however, any edits to it will get removed if the file is opened in a newer version of Excel. Learn more: https://go.microsoft.com/fwlink/?linkid=870924
Comment:
    May indicate that people did not want to spend 2/3 of their budget on lighting and that it's not 2x more desired than any other option.</t>
      </text>
    </comment>
    <comment ref="E3" authorId="1" shapeId="0" xr:uid="{71E21751-937F-465D-B36E-81AFE2739ED5}">
      <text>
        <t>[Threaded comment]
Your version of Excel allows you to read this threaded comment; however, any edits to it will get removed if the file is opened in a newer version of Excel. Learn more: https://go.microsoft.com/fwlink/?linkid=870924
Comment:
    Asked to rank/prioritize 1-6. The lowest mean, then, was the "highest ranked". I have provided the inverse here so that the highest number is the highest ranked. This will help with bar charts and other graphs, too.</t>
      </text>
    </comment>
    <comment ref="I3" authorId="2" shapeId="0" xr:uid="{BC2A45F5-E0B8-426E-A8BB-1CA3BE392AFD}">
      <text>
        <t>[Threaded comment]
Your version of Excel allows you to read this threaded comment; however, any edits to it will get removed if the file is opened in a newer version of Excel. Learn more: https://go.microsoft.com/fwlink/?linkid=870924
Comment:
    Asked to rank/prioritize 1-6. The lowest mean, then, was the "highest ranked". I have provided the inverse here so that the highest number is the highest ranked. This will help with bar charts and other graphs, too.</t>
      </text>
    </comment>
    <comment ref="L3" authorId="3" shapeId="0" xr:uid="{1FE516EE-7F1E-45E3-9DC1-99D121472FB2}">
      <text>
        <t>[Threaded comment]
Your version of Excel allows you to read this threaded comment; however, any edits to it will get removed if the file is opened in a newer version of Excel. Learn more: https://go.microsoft.com/fwlink/?linkid=870924
Comment:
    Asked to rank/prioritize 1-6. The lowest mean, then, was the "highest ranked". I have provided the inverse here so that the highest number is the highest ranked. This will help with bar charts and other graphs, too.</t>
      </text>
    </comment>
    <comment ref="O3" authorId="4" shapeId="0" xr:uid="{9CBC3B67-89CA-4C1A-A3C4-60FFDE367A04}">
      <text>
        <t>[Threaded comment]
Your version of Excel allows you to read this threaded comment; however, any edits to it will get removed if the file is opened in a newer version of Excel. Learn more: https://go.microsoft.com/fwlink/?linkid=870924
Comment:
    Asked to rank/prioritize 1-6. The lowest mean, then, was the "highest ranked". I have provided the inverse here so that the highest number is the highest ranked. This will help with bar charts and other graphs, too.</t>
      </text>
    </comment>
  </commentList>
</comments>
</file>

<file path=xl/sharedStrings.xml><?xml version="1.0" encoding="utf-8"?>
<sst xmlns="http://schemas.openxmlformats.org/spreadsheetml/2006/main" count="157" uniqueCount="61">
  <si>
    <t>#</t>
  </si>
  <si>
    <t>Decorative Accents in Concrete - $7</t>
  </si>
  <si>
    <t>Decorative Accents Along Trail - $3</t>
  </si>
  <si>
    <t>Decorative Accents and Planters at Seating Areas - $6</t>
  </si>
  <si>
    <t>Trees, Shrubs/Grasses, and Groundcover Plants at Intersections - $25</t>
  </si>
  <si>
    <t>Native Plants and Decorative Gravel Along Trail - $31</t>
  </si>
  <si>
    <t>Lighting, Landscaping, or Decorative Option</t>
  </si>
  <si>
    <t>Percentage (%)</t>
  </si>
  <si>
    <t>15-20%</t>
  </si>
  <si>
    <t>&lt;15%</t>
  </si>
  <si>
    <t>&gt;20%</t>
  </si>
  <si>
    <t>Key</t>
  </si>
  <si>
    <t>1,053 overall respondents</t>
  </si>
  <si>
    <t>525 (50%) are residents or business owners/reps</t>
  </si>
  <si>
    <t>30% of residents or business owners/reps are also trail users</t>
  </si>
  <si>
    <t>Site Furnishings at Seating Areas, Benches, Trash Receptacles, Bike Repair Stations - $14</t>
  </si>
  <si>
    <t>&lt;-- Choice Rank</t>
  </si>
  <si>
    <t>Prioritization Mean (7-X)</t>
  </si>
  <si>
    <t>&lt;3</t>
  </si>
  <si>
    <t>3 to 4</t>
  </si>
  <si>
    <t>&gt;4</t>
  </si>
  <si>
    <t>&lt;-- Prior. Rank</t>
  </si>
  <si>
    <t>Lighting Option 1 (B/I, O/M, $32)</t>
  </si>
  <si>
    <t>35.5%/374 Resp.</t>
  </si>
  <si>
    <t>1,053 Resp./2,061 Choices</t>
  </si>
  <si>
    <t>46.1%/486 Resp.</t>
  </si>
  <si>
    <t>Lighting Option 2 (B/M, O/I, $34)</t>
  </si>
  <si>
    <t>18.3%/193 Resp.</t>
  </si>
  <si>
    <t>Lighting Option 3 (BO/M, O/I, $65)</t>
  </si>
  <si>
    <t>Choices (%)</t>
  </si>
  <si>
    <t>37.7%/198 Res/Bus Resp.</t>
  </si>
  <si>
    <t>44.2%/232 Res/Bus Resp.</t>
  </si>
  <si>
    <t>18.1%/95 Res/Bus Resp.</t>
  </si>
  <si>
    <t>525 Resp./1,043 Choices</t>
  </si>
  <si>
    <t>37.9%/25 Westside Resp.</t>
  </si>
  <si>
    <t>24.2%/16 Westside Resp.</t>
  </si>
  <si>
    <t>66 Westside Resp./327 Choices</t>
  </si>
  <si>
    <t>Significant Diff. Compared to Overall</t>
  </si>
  <si>
    <t>Overall, Not Filt. by Lighting Choice</t>
  </si>
  <si>
    <t>66 (6.3%) are people who live within the Westside's community councils' boundaries.</t>
  </si>
  <si>
    <t>66 (6.3%) live within the boundaries of the Westside's community councils.</t>
  </si>
  <si>
    <t>&lt;-- Skews older than overall</t>
  </si>
  <si>
    <t>&lt;-- A lot more male respondents than overall</t>
  </si>
  <si>
    <t>&lt;-- Whiter than the overall</t>
  </si>
  <si>
    <t>&lt;-- About the same Latino/Hispanic as overall</t>
  </si>
  <si>
    <t>&lt;-- Fewer that ID'd themselves as trail users among the "resident" and "business owner or employee" group, compared to overall.</t>
  </si>
  <si>
    <t>&lt;-- Nearly every resident ID'd themselves as a trail user, too.</t>
  </si>
  <si>
    <t>599 (56.9%) are trail users.</t>
  </si>
  <si>
    <t>36.4%/218 Trail User Resp.</t>
  </si>
  <si>
    <t>49.6%/297 Trail User Resp.</t>
  </si>
  <si>
    <t>14.02%/84 Trail User Resp.</t>
  </si>
  <si>
    <t>599 Trail User Resp./1,228 Choices</t>
  </si>
  <si>
    <t>Roughly the same in nearly all demographics as overall respondents.</t>
  </si>
  <si>
    <t>Lighting Option 2 with frequencies and intensities following CPTED principles.</t>
  </si>
  <si>
    <t xml:space="preserve">    - Bollard durability needs to be high</t>
  </si>
  <si>
    <t xml:space="preserve">    - Ask consultant to determine in consultation with Public Utilities' Street Lighting Manager (Dave Pearson) and Public Lands maintenance</t>
  </si>
  <si>
    <t xml:space="preserve">    - Proprietary and/or solar lighting fixtures are not preferred</t>
  </si>
  <si>
    <t xml:space="preserve">    - JRPT overheads not frequent enough and LEDs too intense for neighbors</t>
  </si>
  <si>
    <t xml:space="preserve">    - S-Line lighting in Salt Lake City likely too expensive</t>
  </si>
  <si>
    <t>Landscaping and Decorative Options 4, 6, and 3 in that order (with Option 2 as a back up if budget permits), following CPTED principles</t>
  </si>
  <si>
    <t>Landscaping or Decorative Option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</si>
</sst>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10" fontId="0" fillId="2" borderId="0" xfId="0" applyNumberFormat="1" applyFill="1" applyAlignment="1">
      <alignment horizontal="center"/>
    </xf>
    <xf numFmtId="10" fontId="0" fillId="3" borderId="0" xfId="0" applyNumberFormat="1" applyFill="1" applyAlignment="1">
      <alignment horizontal="center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center"/>
    </xf>
    <xf numFmtId="16" fontId="0" fillId="2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0" fillId="2" borderId="0" xfId="0" applyFont="1" applyFill="1" applyAlignment="1">
      <alignment horizontal="center"/>
    </xf>
    <xf numFmtId="0" fontId="0" fillId="3" borderId="0" xfId="0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1" fillId="4" borderId="0" xfId="0" applyFont="1" applyFill="1" applyAlignment="1">
      <alignment horizontal="center"/>
    </xf>
    <xf numFmtId="10" fontId="0" fillId="2" borderId="0" xfId="0" applyNumberFormat="1" applyFont="1" applyFill="1" applyAlignment="1">
      <alignment horizontal="center"/>
    </xf>
    <xf numFmtId="2" fontId="0" fillId="3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6" fontId="0" fillId="0" borderId="0" xfId="0" applyNumberFormat="1" applyFill="1" applyAlignment="1">
      <alignment horizont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ont="1" applyFill="1" applyAlignment="1">
      <alignment horizontal="center"/>
    </xf>
    <xf numFmtId="2" fontId="0" fillId="2" borderId="0" xfId="0" applyNumberFormat="1" applyFill="1" applyAlignment="1">
      <alignment horizontal="center"/>
    </xf>
    <xf numFmtId="2" fontId="0" fillId="3" borderId="0" xfId="0" applyNumberFormat="1" applyFill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2" fontId="0" fillId="0" borderId="0" xfId="0" applyNumberFormat="1" applyFont="1" applyFill="1" applyAlignment="1">
      <alignment horizontal="center"/>
    </xf>
    <xf numFmtId="2" fontId="1" fillId="4" borderId="0" xfId="0" applyNumberFormat="1" applyFont="1" applyFill="1" applyAlignment="1">
      <alignment horizontal="center"/>
    </xf>
    <xf numFmtId="2" fontId="0" fillId="0" borderId="0" xfId="0" applyNumberFormat="1" applyFill="1" applyAlignment="1">
      <alignment horizontal="center"/>
    </xf>
    <xf numFmtId="2" fontId="1" fillId="0" borderId="0" xfId="0" applyNumberFormat="1" applyFont="1" applyFill="1" applyAlignment="1">
      <alignment horizontal="center"/>
    </xf>
    <xf numFmtId="0" fontId="0" fillId="0" borderId="0" xfId="0" applyFill="1"/>
    <xf numFmtId="0" fontId="0" fillId="0" borderId="0" xfId="0" applyFont="1" applyFill="1"/>
    <xf numFmtId="10" fontId="0" fillId="3" borderId="0" xfId="0" applyNumberFormat="1" applyFont="1" applyFill="1" applyAlignment="1">
      <alignment horizontal="center"/>
    </xf>
    <xf numFmtId="2" fontId="0" fillId="2" borderId="0" xfId="0" applyNumberFormat="1" applyFont="1" applyFill="1" applyAlignment="1">
      <alignment horizontal="center"/>
    </xf>
    <xf numFmtId="0" fontId="0" fillId="0" borderId="2" xfId="0" applyBorder="1"/>
    <xf numFmtId="0" fontId="0" fillId="0" borderId="4" xfId="0" applyBorder="1"/>
    <xf numFmtId="0" fontId="0" fillId="0" borderId="3" xfId="0" applyBorder="1"/>
    <xf numFmtId="0" fontId="0" fillId="0" borderId="0" xfId="0" applyBorder="1"/>
    <xf numFmtId="10" fontId="1" fillId="4" borderId="2" xfId="0" applyNumberFormat="1" applyFont="1" applyFill="1" applyBorder="1" applyAlignment="1">
      <alignment horizontal="center"/>
    </xf>
    <xf numFmtId="2" fontId="1" fillId="4" borderId="1" xfId="0" applyNumberFormat="1" applyFont="1" applyFill="1" applyBorder="1" applyAlignment="1">
      <alignment horizontal="center"/>
    </xf>
    <xf numFmtId="0" fontId="0" fillId="0" borderId="1" xfId="0" applyNumberFormat="1" applyFont="1" applyFill="1" applyBorder="1" applyAlignment="1">
      <alignment horizontal="center"/>
    </xf>
    <xf numFmtId="10" fontId="1" fillId="4" borderId="1" xfId="0" applyNumberFormat="1" applyFont="1" applyFill="1" applyBorder="1" applyAlignment="1">
      <alignment horizontal="center"/>
    </xf>
    <xf numFmtId="10" fontId="0" fillId="3" borderId="1" xfId="0" applyNumberFormat="1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0" fontId="0" fillId="2" borderId="0" xfId="0" applyNumberFormat="1" applyFill="1" applyBorder="1" applyAlignment="1">
      <alignment horizontal="center"/>
    </xf>
    <xf numFmtId="0" fontId="0" fillId="2" borderId="5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10" fontId="0" fillId="2" borderId="1" xfId="0" applyNumberFormat="1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6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5" borderId="0" xfId="0" applyFont="1" applyFill="1" applyAlignment="1">
      <alignment horizontal="center"/>
    </xf>
    <xf numFmtId="0" fontId="3" fillId="8" borderId="0" xfId="0" applyFont="1" applyFill="1" applyAlignment="1">
      <alignment horizontal="center"/>
    </xf>
    <xf numFmtId="0" fontId="0" fillId="5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0" fillId="6" borderId="0" xfId="0" applyFont="1" applyFill="1" applyAlignment="1">
      <alignment horizontal="center"/>
    </xf>
    <xf numFmtId="0" fontId="0" fillId="7" borderId="0" xfId="0" applyFont="1" applyFill="1" applyAlignment="1">
      <alignment horizontal="center"/>
    </xf>
    <xf numFmtId="0" fontId="0" fillId="4" borderId="0" xfId="0" applyFill="1"/>
    <xf numFmtId="0" fontId="1" fillId="0" borderId="0" xfId="0" applyNumberFormat="1" applyFont="1" applyFill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4" borderId="0" xfId="0" applyFont="1" applyFill="1"/>
    <xf numFmtId="0" fontId="1" fillId="2" borderId="0" xfId="0" applyFont="1" applyFill="1" applyAlignment="1">
      <alignment horizontal="center"/>
    </xf>
    <xf numFmtId="0" fontId="0" fillId="9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Respondents' </a:t>
            </a:r>
            <a:r>
              <a:rPr lang="en-US" b="1"/>
              <a:t>Choices (%)</a:t>
            </a:r>
          </a:p>
          <a:p>
            <a:pPr>
              <a:defRPr/>
            </a:pPr>
            <a:r>
              <a:rPr lang="en-US"/>
              <a:t>by Lighting Option (1, 2, or 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'Overall Option Prioritization'!$H$1:$I$1</c:f>
              <c:strCache>
                <c:ptCount val="1"/>
                <c:pt idx="0">
                  <c:v>Lighting Option 1 (B/I, O/M, $32)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'Overall Option Prioritization'!$B$4:$B$9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'Overall Option Prioritization'!$H$4:$H$9</c:f>
              <c:numCache>
                <c:formatCode>0.00%</c:formatCode>
                <c:ptCount val="6"/>
                <c:pt idx="0">
                  <c:v>8.2400000000000001E-2</c:v>
                </c:pt>
                <c:pt idx="1">
                  <c:v>0.15160000000000001</c:v>
                </c:pt>
                <c:pt idx="2">
                  <c:v>0.1686</c:v>
                </c:pt>
                <c:pt idx="3">
                  <c:v>0.24440000000000001</c:v>
                </c:pt>
                <c:pt idx="4">
                  <c:v>0.14899999999999999</c:v>
                </c:pt>
                <c:pt idx="5">
                  <c:v>0.2039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7-46EE-958A-BF2F1176BFD2}"/>
            </c:ext>
          </c:extLst>
        </c:ser>
        <c:ser>
          <c:idx val="1"/>
          <c:order val="1"/>
          <c:tx>
            <c:strRef>
              <c:f>'Overall Option Prioritization'!$K$1:$L$1</c:f>
              <c:strCache>
                <c:ptCount val="1"/>
                <c:pt idx="0">
                  <c:v>Lighting Option 2 (B/M, O/I, $34)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86-4632-B9D5-D519423D199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86-4632-B9D5-D519423D19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'Overall Option Prioritization'!$B$4:$B$9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'Overall Option Prioritization'!$K$4:$K$9</c:f>
              <c:numCache>
                <c:formatCode>0.00%</c:formatCode>
                <c:ptCount val="6"/>
                <c:pt idx="0">
                  <c:v>8.1100000000000005E-2</c:v>
                </c:pt>
                <c:pt idx="1">
                  <c:v>0.17319999999999999</c:v>
                </c:pt>
                <c:pt idx="2">
                  <c:v>0.20119999999999999</c:v>
                </c:pt>
                <c:pt idx="3">
                  <c:v>0.2072</c:v>
                </c:pt>
                <c:pt idx="4">
                  <c:v>0.1321</c:v>
                </c:pt>
                <c:pt idx="5">
                  <c:v>0.20519999999999999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7-46EE-958A-BF2F1176BFD2}"/>
            </c:ext>
          </c:extLst>
        </c:ser>
        <c:ser>
          <c:idx val="2"/>
          <c:order val="2"/>
          <c:tx>
            <c:strRef>
              <c:f>'Overall Option Prioritization'!$N$1:$O$1</c:f>
              <c:strCache>
                <c:ptCount val="1"/>
                <c:pt idx="0">
                  <c:v>Lighting Option 3 (BO/M, O/I, $65)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'Overall Option Prioritization'!$B$4:$B$9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'Overall Option Prioritization'!$N$4:$N$9</c:f>
              <c:numCache>
                <c:formatCode>0.00%</c:formatCode>
                <c:ptCount val="6"/>
                <c:pt idx="0">
                  <c:v>0.1111</c:v>
                </c:pt>
                <c:pt idx="1">
                  <c:v>0.22900000000000001</c:v>
                </c:pt>
                <c:pt idx="2">
                  <c:v>0.1953</c:v>
                </c:pt>
                <c:pt idx="3">
                  <c:v>0.2492</c:v>
                </c:pt>
                <c:pt idx="4">
                  <c:v>9.4299999999999995E-2</c:v>
                </c:pt>
                <c:pt idx="5">
                  <c:v>0.1212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67-46EE-958A-BF2F1176B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3289560"/>
        <c:axId val="633286608"/>
      </c:barChart>
      <c:catAx>
        <c:axId val="633289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6608"/>
        <c:crosses val="autoZero"/>
        <c:auto val="1"/>
        <c:lblAlgn val="ctr"/>
        <c:lblOffset val="100"/>
        <c:noMultiLvlLbl val="0"/>
      </c:catAx>
      <c:valAx>
        <c:axId val="63328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9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Trail User Respondents' </a:t>
            </a:r>
            <a:r>
              <a:rPr lang="en-US" b="1"/>
              <a:t>Prioritizations (6=</a:t>
            </a:r>
            <a:r>
              <a:rPr lang="en-US" b="1" baseline="0"/>
              <a:t>highest)</a:t>
            </a:r>
          </a:p>
          <a:p>
            <a:pPr>
              <a:defRPr/>
            </a:pPr>
            <a:r>
              <a:rPr lang="en-US"/>
              <a:t>by Lighting Option (1, 2, 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'Trail User Option Prior.'!$H$1:$I$1</c:f>
              <c:strCache>
                <c:ptCount val="1"/>
                <c:pt idx="0">
                  <c:v>Lighting Option 1 (B/I, O/M, $32)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'Trail User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'Trail User Option Prior.'!$I$4:$I$9</c:f>
              <c:numCache>
                <c:formatCode>General</c:formatCode>
                <c:ptCount val="6"/>
                <c:pt idx="0">
                  <c:v>2.3899999999999997</c:v>
                </c:pt>
                <c:pt idx="1">
                  <c:v>3.29</c:v>
                </c:pt>
                <c:pt idx="2">
                  <c:v>3.67</c:v>
                </c:pt>
                <c:pt idx="3">
                  <c:v>4.5199999999999996</c:v>
                </c:pt>
                <c:pt idx="4">
                  <c:v>3.52</c:v>
                </c:pt>
                <c:pt idx="5">
                  <c:v>3.61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9-4F0F-AADA-30DCB0DA7EE1}"/>
            </c:ext>
          </c:extLst>
        </c:ser>
        <c:ser>
          <c:idx val="1"/>
          <c:order val="1"/>
          <c:tx>
            <c:strRef>
              <c:f>'Trail User Option Prior.'!$K$1:$L$1</c:f>
              <c:strCache>
                <c:ptCount val="1"/>
                <c:pt idx="0">
                  <c:v>Lighting Option 2 (B/M, O/I, $34)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'Trail User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'Trail User Option Prior.'!$L$4:$L$9</c:f>
              <c:numCache>
                <c:formatCode>0.00</c:formatCode>
                <c:ptCount val="6"/>
                <c:pt idx="0">
                  <c:v>2.3600000000000003</c:v>
                </c:pt>
                <c:pt idx="1">
                  <c:v>3.42</c:v>
                </c:pt>
                <c:pt idx="2">
                  <c:v>3.85</c:v>
                </c:pt>
                <c:pt idx="3">
                  <c:v>4.09</c:v>
                </c:pt>
                <c:pt idx="4">
                  <c:v>3.47</c:v>
                </c:pt>
                <c:pt idx="5" formatCode="General">
                  <c:v>3.82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9-4F0F-AADA-30DCB0DA7EE1}"/>
            </c:ext>
          </c:extLst>
        </c:ser>
        <c:ser>
          <c:idx val="2"/>
          <c:order val="2"/>
          <c:tx>
            <c:strRef>
              <c:f>'Trail User Option Prior.'!$N$1:$O$1</c:f>
              <c:strCache>
                <c:ptCount val="1"/>
                <c:pt idx="0">
                  <c:v>Lighting Option 3 (BO/M, O/I, $65)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'Trail User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'Trail User Option Prior.'!$O$4:$O$9</c:f>
              <c:numCache>
                <c:formatCode>0.00</c:formatCode>
                <c:ptCount val="6"/>
                <c:pt idx="0" formatCode="General">
                  <c:v>2.7300000000000004</c:v>
                </c:pt>
                <c:pt idx="1">
                  <c:v>3.7</c:v>
                </c:pt>
                <c:pt idx="2" formatCode="General">
                  <c:v>3.91</c:v>
                </c:pt>
                <c:pt idx="3" formatCode="General">
                  <c:v>4.3499999999999996</c:v>
                </c:pt>
                <c:pt idx="4" formatCode="General">
                  <c:v>3.07</c:v>
                </c:pt>
                <c:pt idx="5" formatCode="General">
                  <c:v>3.24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79-4F0F-AADA-30DCB0DA7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3289560"/>
        <c:axId val="633286608"/>
      </c:barChart>
      <c:catAx>
        <c:axId val="633289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6608"/>
        <c:crosses val="autoZero"/>
        <c:auto val="1"/>
        <c:lblAlgn val="ctr"/>
        <c:lblOffset val="100"/>
        <c:noMultiLvlLbl val="0"/>
      </c:catAx>
      <c:valAx>
        <c:axId val="63328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9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Trail User Respondents' </a:t>
            </a:r>
            <a:r>
              <a:rPr lang="en-US" b="1"/>
              <a:t>Choices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'Trail User Option Prior.'!$C$3</c:f>
              <c:strCache>
                <c:ptCount val="1"/>
                <c:pt idx="0">
                  <c:v>Choices (%)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'Trail User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'Trail User Option Prior.'!$C$4:$C$9</c:f>
              <c:numCache>
                <c:formatCode>0.00%</c:formatCode>
                <c:ptCount val="6"/>
                <c:pt idx="0">
                  <c:v>8.5504885993485338E-2</c:v>
                </c:pt>
                <c:pt idx="1">
                  <c:v>0.17345276872964169</c:v>
                </c:pt>
                <c:pt idx="2">
                  <c:v>0.18892508143322476</c:v>
                </c:pt>
                <c:pt idx="3">
                  <c:v>0.23778501628664495</c:v>
                </c:pt>
                <c:pt idx="4">
                  <c:v>0.13110749185667753</c:v>
                </c:pt>
                <c:pt idx="5">
                  <c:v>0.18322475570032573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3-4D65-A6F4-D86A51691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3289560"/>
        <c:axId val="633286608"/>
      </c:barChart>
      <c:catAx>
        <c:axId val="633289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6608"/>
        <c:crosses val="autoZero"/>
        <c:auto val="1"/>
        <c:lblAlgn val="ctr"/>
        <c:lblOffset val="100"/>
        <c:noMultiLvlLbl val="0"/>
      </c:catAx>
      <c:valAx>
        <c:axId val="633286608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9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Trail User Respondents' </a:t>
            </a:r>
            <a:r>
              <a:rPr lang="en-US" b="1"/>
              <a:t>Prioritizations (6=</a:t>
            </a:r>
            <a:r>
              <a:rPr lang="en-US" b="1" baseline="0"/>
              <a:t>highest)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'Trail User Option Prior.'!$E$3</c:f>
              <c:strCache>
                <c:ptCount val="1"/>
                <c:pt idx="0">
                  <c:v>Prioritization Mean (7-X)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'Trail User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'Trail User Option Prior.'!$E$4:$E$9</c:f>
              <c:numCache>
                <c:formatCode>0.00</c:formatCode>
                <c:ptCount val="6"/>
                <c:pt idx="0">
                  <c:v>2.4203152364273208</c:v>
                </c:pt>
                <c:pt idx="1">
                  <c:v>3.4063047285464099</c:v>
                </c:pt>
                <c:pt idx="2">
                  <c:v>3.7880910683012261</c:v>
                </c:pt>
                <c:pt idx="3">
                  <c:v>4.196147110332749</c:v>
                </c:pt>
                <c:pt idx="4">
                  <c:v>3.4360770577933448</c:v>
                </c:pt>
                <c:pt idx="5">
                  <c:v>3.6654991243432575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3-4E9A-8D5F-906CAEEEF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3289560"/>
        <c:axId val="633286608"/>
      </c:barChart>
      <c:catAx>
        <c:axId val="633289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6608"/>
        <c:crosses val="autoZero"/>
        <c:auto val="1"/>
        <c:lblAlgn val="ctr"/>
        <c:lblOffset val="100"/>
        <c:noMultiLvlLbl val="0"/>
      </c:catAx>
      <c:valAx>
        <c:axId val="63328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9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Respondents' </a:t>
            </a:r>
            <a:r>
              <a:rPr lang="en-US" b="1"/>
              <a:t>Choices (%)</a:t>
            </a:r>
          </a:p>
          <a:p>
            <a:pPr>
              <a:defRPr/>
            </a:pPr>
            <a:r>
              <a:rPr lang="en-US"/>
              <a:t>by Lighting Option (1, 2, or 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'Resident-Business Option Prior.'!$H$1:$I$1</c:f>
              <c:strCache>
                <c:ptCount val="1"/>
                <c:pt idx="0">
                  <c:v>Lighting Option 1 (B/I, O/M, $32)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'Resident-Business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'Resident-Business Option Prior.'!$H$4:$H$9</c:f>
              <c:numCache>
                <c:formatCode>0.00%</c:formatCode>
                <c:ptCount val="6"/>
                <c:pt idx="0">
                  <c:v>7.7700000000000005E-2</c:v>
                </c:pt>
                <c:pt idx="1">
                  <c:v>0.14249999999999999</c:v>
                </c:pt>
                <c:pt idx="2">
                  <c:v>0.15029999999999999</c:v>
                </c:pt>
                <c:pt idx="3">
                  <c:v>0.25130000000000002</c:v>
                </c:pt>
                <c:pt idx="4">
                  <c:v>0.15029999999999999</c:v>
                </c:pt>
                <c:pt idx="5">
                  <c:v>0.22800000000000001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B0-4B1A-A865-B99B594E6ED4}"/>
            </c:ext>
          </c:extLst>
        </c:ser>
        <c:ser>
          <c:idx val="1"/>
          <c:order val="1"/>
          <c:tx>
            <c:strRef>
              <c:f>'Resident-Business Option Prior.'!$K$1:$L$1</c:f>
              <c:strCache>
                <c:ptCount val="1"/>
                <c:pt idx="0">
                  <c:v>Lighting Option 2 (B/M, O/I, $34)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'Resident-Business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'Resident-Business Option Prior.'!$K$4:$K$9</c:f>
              <c:numCache>
                <c:formatCode>0.00%</c:formatCode>
                <c:ptCount val="6"/>
                <c:pt idx="0">
                  <c:v>7.7399999999999997E-2</c:v>
                </c:pt>
                <c:pt idx="1">
                  <c:v>0.1925</c:v>
                </c:pt>
                <c:pt idx="2">
                  <c:v>0.2044</c:v>
                </c:pt>
                <c:pt idx="3">
                  <c:v>0.2044</c:v>
                </c:pt>
                <c:pt idx="4">
                  <c:v>0.125</c:v>
                </c:pt>
                <c:pt idx="5">
                  <c:v>0.19639999999999999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B0-4B1A-A865-B99B594E6ED4}"/>
            </c:ext>
          </c:extLst>
        </c:ser>
        <c:ser>
          <c:idx val="2"/>
          <c:order val="2"/>
          <c:tx>
            <c:strRef>
              <c:f>'Resident-Business Option Prior.'!$N$1:$O$1</c:f>
              <c:strCache>
                <c:ptCount val="1"/>
                <c:pt idx="0">
                  <c:v>Lighting Option 3 (BO/M, O/I, $65)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'Resident-Business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'Resident-Business Option Prior.'!$N$4:$N$9</c:f>
              <c:numCache>
                <c:formatCode>0.00%</c:formatCode>
                <c:ptCount val="6"/>
                <c:pt idx="0">
                  <c:v>0.13730000000000001</c:v>
                </c:pt>
                <c:pt idx="1">
                  <c:v>0.2026</c:v>
                </c:pt>
                <c:pt idx="2">
                  <c:v>0.1961</c:v>
                </c:pt>
                <c:pt idx="3">
                  <c:v>0.26800000000000002</c:v>
                </c:pt>
                <c:pt idx="4">
                  <c:v>0.1176</c:v>
                </c:pt>
                <c:pt idx="5">
                  <c:v>7.8399999999999997E-2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B0-4B1A-A865-B99B594E6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3289560"/>
        <c:axId val="633286608"/>
      </c:barChart>
      <c:catAx>
        <c:axId val="633289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6608"/>
        <c:crosses val="autoZero"/>
        <c:auto val="1"/>
        <c:lblAlgn val="ctr"/>
        <c:lblOffset val="100"/>
        <c:noMultiLvlLbl val="0"/>
      </c:catAx>
      <c:valAx>
        <c:axId val="63328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9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Respondents' </a:t>
            </a:r>
            <a:r>
              <a:rPr lang="en-US" b="1"/>
              <a:t>Prioritizations (6=</a:t>
            </a:r>
            <a:r>
              <a:rPr lang="en-US" b="1" baseline="0"/>
              <a:t>highest)</a:t>
            </a:r>
          </a:p>
          <a:p>
            <a:pPr>
              <a:defRPr/>
            </a:pPr>
            <a:r>
              <a:rPr lang="en-US"/>
              <a:t>by Lighting Option (1, 2, 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'Resident-Business Option Prior.'!$H$1:$I$1</c:f>
              <c:strCache>
                <c:ptCount val="1"/>
                <c:pt idx="0">
                  <c:v>Lighting Option 1 (B/I, O/M, $32)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'Resident-Business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'Resident-Business Option Prior.'!$I$4:$I$9</c:f>
              <c:numCache>
                <c:formatCode>General</c:formatCode>
                <c:ptCount val="6"/>
                <c:pt idx="0">
                  <c:v>2.4900000000000002</c:v>
                </c:pt>
                <c:pt idx="1">
                  <c:v>3.27</c:v>
                </c:pt>
                <c:pt idx="2">
                  <c:v>3.66</c:v>
                </c:pt>
                <c:pt idx="3">
                  <c:v>4.33</c:v>
                </c:pt>
                <c:pt idx="4">
                  <c:v>3.51</c:v>
                </c:pt>
                <c:pt idx="5">
                  <c:v>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A-43CF-AF04-A532229097E1}"/>
            </c:ext>
          </c:extLst>
        </c:ser>
        <c:ser>
          <c:idx val="1"/>
          <c:order val="1"/>
          <c:tx>
            <c:strRef>
              <c:f>'Resident-Business Option Prior.'!$K$1:$L$1</c:f>
              <c:strCache>
                <c:ptCount val="1"/>
                <c:pt idx="0">
                  <c:v>Lighting Option 2 (B/M, O/I, $34)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'Resident-Business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'Resident-Business Option Prior.'!$L$4:$L$9</c:f>
              <c:numCache>
                <c:formatCode>General</c:formatCode>
                <c:ptCount val="6"/>
                <c:pt idx="0" formatCode="0.00">
                  <c:v>2.4000000000000004</c:v>
                </c:pt>
                <c:pt idx="1">
                  <c:v>3.66</c:v>
                </c:pt>
                <c:pt idx="2">
                  <c:v>3.89</c:v>
                </c:pt>
                <c:pt idx="3">
                  <c:v>3.91</c:v>
                </c:pt>
                <c:pt idx="4">
                  <c:v>3.41</c:v>
                </c:pt>
                <c:pt idx="5">
                  <c:v>3.73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8A-43CF-AF04-A532229097E1}"/>
            </c:ext>
          </c:extLst>
        </c:ser>
        <c:ser>
          <c:idx val="2"/>
          <c:order val="2"/>
          <c:tx>
            <c:strRef>
              <c:f>'Resident-Business Option Prior.'!$N$1:$O$1</c:f>
              <c:strCache>
                <c:ptCount val="1"/>
                <c:pt idx="0">
                  <c:v>Lighting Option 3 (BO/M, O/I, $65)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'Resident-Business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'Resident-Business Option Prior.'!$O$4:$O$9</c:f>
              <c:numCache>
                <c:formatCode>General</c:formatCode>
                <c:ptCount val="6"/>
                <c:pt idx="0">
                  <c:v>2.76</c:v>
                </c:pt>
                <c:pt idx="1">
                  <c:v>3.52</c:v>
                </c:pt>
                <c:pt idx="2">
                  <c:v>3.99</c:v>
                </c:pt>
                <c:pt idx="3">
                  <c:v>4.55</c:v>
                </c:pt>
                <c:pt idx="4">
                  <c:v>2.95</c:v>
                </c:pt>
                <c:pt idx="5">
                  <c:v>3.22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8A-43CF-AF04-A53222909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3289560"/>
        <c:axId val="633286608"/>
      </c:barChart>
      <c:catAx>
        <c:axId val="633289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6608"/>
        <c:crosses val="autoZero"/>
        <c:auto val="1"/>
        <c:lblAlgn val="ctr"/>
        <c:lblOffset val="100"/>
        <c:noMultiLvlLbl val="0"/>
      </c:catAx>
      <c:valAx>
        <c:axId val="63328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9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Respondents' </a:t>
            </a:r>
            <a:r>
              <a:rPr lang="en-US" b="1"/>
              <a:t>Choices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'Resident-Business Option Prior.'!$C$3</c:f>
              <c:strCache>
                <c:ptCount val="1"/>
                <c:pt idx="0">
                  <c:v>Choices (%)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'Resident-Business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'Resident-Business Option Prior.'!$C$4:$C$9</c:f>
              <c:numCache>
                <c:formatCode>0.00%</c:formatCode>
                <c:ptCount val="6"/>
                <c:pt idx="0">
                  <c:v>8.6289549376797697E-2</c:v>
                </c:pt>
                <c:pt idx="1">
                  <c:v>0.17545541706615533</c:v>
                </c:pt>
                <c:pt idx="2">
                  <c:v>0.18312559923298177</c:v>
                </c:pt>
                <c:pt idx="3">
                  <c:v>0.23106423777564716</c:v>
                </c:pt>
                <c:pt idx="4">
                  <c:v>0.13326941514860979</c:v>
                </c:pt>
                <c:pt idx="5">
                  <c:v>0.19079578139980824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9-459A-9AC4-B7D9367D4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3289560"/>
        <c:axId val="633286608"/>
      </c:barChart>
      <c:catAx>
        <c:axId val="633289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6608"/>
        <c:crosses val="autoZero"/>
        <c:auto val="1"/>
        <c:lblAlgn val="ctr"/>
        <c:lblOffset val="100"/>
        <c:noMultiLvlLbl val="0"/>
      </c:catAx>
      <c:valAx>
        <c:axId val="633286608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9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Respondents' </a:t>
            </a:r>
            <a:r>
              <a:rPr lang="en-US" b="1"/>
              <a:t>Prioritizations (6=</a:t>
            </a:r>
            <a:r>
              <a:rPr lang="en-US" b="1" baseline="0"/>
              <a:t>highest)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'Resident-Business Option Prior.'!$E$3</c:f>
              <c:strCache>
                <c:ptCount val="1"/>
                <c:pt idx="0">
                  <c:v>Prioritization Mean (7-X)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'Resident-Business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'Resident-Business Option Prior.'!$E$4:$E$9</c:f>
              <c:numCache>
                <c:formatCode>0.00</c:formatCode>
                <c:ptCount val="6"/>
                <c:pt idx="0">
                  <c:v>2.577464788732394</c:v>
                </c:pt>
                <c:pt idx="1">
                  <c:v>3.4889336016096579</c:v>
                </c:pt>
                <c:pt idx="2">
                  <c:v>3.816901408450704</c:v>
                </c:pt>
                <c:pt idx="3">
                  <c:v>4.1810865191146878</c:v>
                </c:pt>
                <c:pt idx="4">
                  <c:v>3.3682092555331993</c:v>
                </c:pt>
                <c:pt idx="5">
                  <c:v>3.647887323943662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7-48CA-8CB0-022CFD420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3289560"/>
        <c:axId val="633286608"/>
      </c:barChart>
      <c:catAx>
        <c:axId val="633289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6608"/>
        <c:crosses val="autoZero"/>
        <c:auto val="1"/>
        <c:lblAlgn val="ctr"/>
        <c:lblOffset val="100"/>
        <c:noMultiLvlLbl val="0"/>
      </c:catAx>
      <c:valAx>
        <c:axId val="63328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9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Respondents' </a:t>
            </a:r>
            <a:r>
              <a:rPr lang="en-US" b="1"/>
              <a:t>Prioritizations (6=</a:t>
            </a:r>
            <a:r>
              <a:rPr lang="en-US" b="1" baseline="0"/>
              <a:t>highest)</a:t>
            </a:r>
          </a:p>
          <a:p>
            <a:pPr>
              <a:defRPr/>
            </a:pPr>
            <a:r>
              <a:rPr lang="en-US"/>
              <a:t>by Lighting Option (1, 2, 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'Overall Option Prioritization'!$H$1:$I$1</c:f>
              <c:strCache>
                <c:ptCount val="1"/>
                <c:pt idx="0">
                  <c:v>Lighting Option 1 (B/I, O/M, $32)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'Overall Option Prioritization'!$B$4:$B$9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'Overall Option Prioritization'!$I$4:$I$9</c:f>
              <c:numCache>
                <c:formatCode>General</c:formatCode>
                <c:ptCount val="6"/>
                <c:pt idx="0">
                  <c:v>2.4500000000000002</c:v>
                </c:pt>
                <c:pt idx="1">
                  <c:v>3.32</c:v>
                </c:pt>
                <c:pt idx="2">
                  <c:v>3.71</c:v>
                </c:pt>
                <c:pt idx="3">
                  <c:v>4.41</c:v>
                </c:pt>
                <c:pt idx="4">
                  <c:v>3.49</c:v>
                </c:pt>
                <c:pt idx="5">
                  <c:v>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98-4B8F-8311-6A02E2711C17}"/>
            </c:ext>
          </c:extLst>
        </c:ser>
        <c:ser>
          <c:idx val="1"/>
          <c:order val="1"/>
          <c:tx>
            <c:strRef>
              <c:f>'Overall Option Prioritization'!$K$1:$L$1</c:f>
              <c:strCache>
                <c:ptCount val="1"/>
                <c:pt idx="0">
                  <c:v>Lighting Option 2 (B/M, O/I, $34)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DA-4E96-8BDC-B628F0AE448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DA-4E96-8BDC-B628F0AE44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'Overall Option Prioritization'!$B$4:$B$9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'Overall Option Prioritization'!$L$4:$L$9</c:f>
              <c:numCache>
                <c:formatCode>General</c:formatCode>
                <c:ptCount val="6"/>
                <c:pt idx="0">
                  <c:v>2.42</c:v>
                </c:pt>
                <c:pt idx="1">
                  <c:v>3.52</c:v>
                </c:pt>
                <c:pt idx="2">
                  <c:v>3.89</c:v>
                </c:pt>
                <c:pt idx="3">
                  <c:v>3.93</c:v>
                </c:pt>
                <c:pt idx="4">
                  <c:v>3.49</c:v>
                </c:pt>
                <c:pt idx="5">
                  <c:v>3.74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98-4B8F-8311-6A02E2711C17}"/>
            </c:ext>
          </c:extLst>
        </c:ser>
        <c:ser>
          <c:idx val="2"/>
          <c:order val="2"/>
          <c:tx>
            <c:strRef>
              <c:f>'Overall Option Prioritization'!$N$1:$O$1</c:f>
              <c:strCache>
                <c:ptCount val="1"/>
                <c:pt idx="0">
                  <c:v>Lighting Option 3 (BO/M, O/I, $65)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'Overall Option Prioritization'!$B$4:$B$9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'Overall Option Prioritization'!$O$4:$O$9</c:f>
              <c:numCache>
                <c:formatCode>General</c:formatCode>
                <c:ptCount val="6"/>
                <c:pt idx="0">
                  <c:v>2.9299999999999997</c:v>
                </c:pt>
                <c:pt idx="1">
                  <c:v>3.81</c:v>
                </c:pt>
                <c:pt idx="2">
                  <c:v>4.01</c:v>
                </c:pt>
                <c:pt idx="3">
                  <c:v>4.34</c:v>
                </c:pt>
                <c:pt idx="4">
                  <c:v>2.92</c:v>
                </c:pt>
                <c:pt idx="5">
                  <c:v>2.9800000000000004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98-4B8F-8311-6A02E2711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3289560"/>
        <c:axId val="633286608"/>
      </c:barChart>
      <c:catAx>
        <c:axId val="633289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6608"/>
        <c:crosses val="autoZero"/>
        <c:auto val="1"/>
        <c:lblAlgn val="ctr"/>
        <c:lblOffset val="100"/>
        <c:noMultiLvlLbl val="0"/>
      </c:catAx>
      <c:valAx>
        <c:axId val="63328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9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Respondents' </a:t>
            </a:r>
            <a:r>
              <a:rPr lang="en-US" b="1"/>
              <a:t>Choices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'Overall Option Prioritization'!$C$3</c:f>
              <c:strCache>
                <c:ptCount val="1"/>
                <c:pt idx="0">
                  <c:v>Choices (%)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98F-459B-9667-3BF014B3896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98F-459B-9667-3BF014B3896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98F-459B-9667-3BF014B3896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98F-459B-9667-3BF014B389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'Overall Option Prioritization'!$B$4:$B$9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'Overall Option Prioritization'!$C$4:$C$9</c:f>
              <c:numCache>
                <c:formatCode>0.00%</c:formatCode>
                <c:ptCount val="6"/>
                <c:pt idx="0">
                  <c:v>8.5880640465793301E-2</c:v>
                </c:pt>
                <c:pt idx="1">
                  <c:v>0.17321688500727803</c:v>
                </c:pt>
                <c:pt idx="2">
                  <c:v>0.18825812712275594</c:v>
                </c:pt>
                <c:pt idx="3">
                  <c:v>0.22707423580786026</c:v>
                </c:pt>
                <c:pt idx="4">
                  <c:v>0.13294517224648228</c:v>
                </c:pt>
                <c:pt idx="5">
                  <c:v>0.19262493934983019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7-4753-AC74-E7773AF9A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3289560"/>
        <c:axId val="633286608"/>
      </c:barChart>
      <c:catAx>
        <c:axId val="633289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6608"/>
        <c:crosses val="autoZero"/>
        <c:auto val="1"/>
        <c:lblAlgn val="ctr"/>
        <c:lblOffset val="100"/>
        <c:noMultiLvlLbl val="0"/>
      </c:catAx>
      <c:valAx>
        <c:axId val="633286608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9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Respondents' </a:t>
            </a:r>
            <a:r>
              <a:rPr lang="en-US" b="1"/>
              <a:t>Prioritizations (6=</a:t>
            </a:r>
            <a:r>
              <a:rPr lang="en-US" b="1" baseline="0"/>
              <a:t>highest)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'Overall Option Prioritization'!$E$3</c:f>
              <c:strCache>
                <c:ptCount val="1"/>
                <c:pt idx="0">
                  <c:v>Prioritization Mean (7-X)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61D-432A-9A14-FA31CC54AA5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61D-432A-9A14-FA31CC54AA5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61D-432A-9A14-FA31CC54AA57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61D-432A-9A14-FA31CC54AA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'Overall Option Prioritization'!$B$4:$B$9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'Overall Option Prioritization'!$E$4:$E$9</c:f>
              <c:numCache>
                <c:formatCode>0.00</c:formatCode>
                <c:ptCount val="6"/>
                <c:pt idx="0">
                  <c:v>2.5122222222222224</c:v>
                </c:pt>
                <c:pt idx="1">
                  <c:v>3.4944444444444445</c:v>
                </c:pt>
                <c:pt idx="2">
                  <c:v>3.8433333333333333</c:v>
                </c:pt>
                <c:pt idx="3">
                  <c:v>3.8333333333333335</c:v>
                </c:pt>
                <c:pt idx="4">
                  <c:v>3.4017758046614874</c:v>
                </c:pt>
                <c:pt idx="5">
                  <c:v>3.5771365149833518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DE-4165-8ACF-A342BADBA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3289560"/>
        <c:axId val="633286608"/>
      </c:barChart>
      <c:catAx>
        <c:axId val="633289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6608"/>
        <c:crosses val="autoZero"/>
        <c:auto val="1"/>
        <c:lblAlgn val="ctr"/>
        <c:lblOffset val="100"/>
        <c:noMultiLvlLbl val="0"/>
      </c:catAx>
      <c:valAx>
        <c:axId val="63328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9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Westside Respondents' </a:t>
            </a:r>
            <a:r>
              <a:rPr lang="en-US" b="1"/>
              <a:t>Choices (%)</a:t>
            </a:r>
          </a:p>
          <a:p>
            <a:pPr>
              <a:defRPr/>
            </a:pPr>
            <a:r>
              <a:rPr lang="en-US"/>
              <a:t>by Lighting Option (1, 2, or 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'Westside Option Prior.'!$H$1:$I$1</c:f>
              <c:strCache>
                <c:ptCount val="1"/>
                <c:pt idx="0">
                  <c:v>Lighting Option 1 (B/I, O/M, $32)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'Westside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'Westside Option Prior.'!$H$4:$H$9</c:f>
              <c:numCache>
                <c:formatCode>0.00%</c:formatCode>
                <c:ptCount val="6"/>
                <c:pt idx="0">
                  <c:v>0.1087</c:v>
                </c:pt>
                <c:pt idx="1">
                  <c:v>0.23910000000000001</c:v>
                </c:pt>
                <c:pt idx="2">
                  <c:v>0.1739</c:v>
                </c:pt>
                <c:pt idx="3">
                  <c:v>0.23910000000000001</c:v>
                </c:pt>
                <c:pt idx="4">
                  <c:v>0.13039999999999999</c:v>
                </c:pt>
                <c:pt idx="5">
                  <c:v>0.1087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7-4DE4-9FB1-FF6C483E2B32}"/>
            </c:ext>
          </c:extLst>
        </c:ser>
        <c:ser>
          <c:idx val="1"/>
          <c:order val="1"/>
          <c:tx>
            <c:strRef>
              <c:f>'Westside Option Prior.'!$K$1:$L$1</c:f>
              <c:strCache>
                <c:ptCount val="1"/>
                <c:pt idx="0">
                  <c:v>Lighting Option 2 (B/M, O/I, $34)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'Westside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'Westside Option Prior.'!$K$4:$K$9</c:f>
              <c:numCache>
                <c:formatCode>0.00%</c:formatCode>
                <c:ptCount val="6"/>
                <c:pt idx="0">
                  <c:v>7.0999999999999994E-2</c:v>
                </c:pt>
                <c:pt idx="1">
                  <c:v>0.2</c:v>
                </c:pt>
                <c:pt idx="2">
                  <c:v>0.19350000000000001</c:v>
                </c:pt>
                <c:pt idx="3">
                  <c:v>0.2258</c:v>
                </c:pt>
                <c:pt idx="4">
                  <c:v>9.0300000000000005E-2</c:v>
                </c:pt>
                <c:pt idx="5">
                  <c:v>0.21940000000000001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C7-4DE4-9FB1-FF6C483E2B32}"/>
            </c:ext>
          </c:extLst>
        </c:ser>
        <c:ser>
          <c:idx val="2"/>
          <c:order val="2"/>
          <c:tx>
            <c:strRef>
              <c:f>'Westside Option Prior.'!$N$1:$O$1</c:f>
              <c:strCache>
                <c:ptCount val="1"/>
                <c:pt idx="0">
                  <c:v>Lighting Option 3 (BO/M, O/I, $65)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'Westside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'Westside Option Prior.'!$N$4:$N$9</c:f>
              <c:numCache>
                <c:formatCode>0.00%</c:formatCode>
                <c:ptCount val="6"/>
                <c:pt idx="0">
                  <c:v>7.9399999999999998E-2</c:v>
                </c:pt>
                <c:pt idx="1">
                  <c:v>0.1905</c:v>
                </c:pt>
                <c:pt idx="2">
                  <c:v>0.127</c:v>
                </c:pt>
                <c:pt idx="3">
                  <c:v>0.26190000000000002</c:v>
                </c:pt>
                <c:pt idx="4">
                  <c:v>0.15079999999999999</c:v>
                </c:pt>
                <c:pt idx="5">
                  <c:v>0.1905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C7-4DE4-9FB1-FF6C483E2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3289560"/>
        <c:axId val="633286608"/>
      </c:barChart>
      <c:catAx>
        <c:axId val="633289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6608"/>
        <c:crosses val="autoZero"/>
        <c:auto val="1"/>
        <c:lblAlgn val="ctr"/>
        <c:lblOffset val="100"/>
        <c:noMultiLvlLbl val="0"/>
      </c:catAx>
      <c:valAx>
        <c:axId val="63328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9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Westside Respondents' </a:t>
            </a:r>
            <a:r>
              <a:rPr lang="en-US" b="1"/>
              <a:t>Prioritizations (6=</a:t>
            </a:r>
            <a:r>
              <a:rPr lang="en-US" b="1" baseline="0"/>
              <a:t>highest)</a:t>
            </a:r>
          </a:p>
          <a:p>
            <a:pPr>
              <a:defRPr/>
            </a:pPr>
            <a:r>
              <a:rPr lang="en-US"/>
              <a:t>by Lighting Option (1, 2, 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'Westside Option Prior.'!$H$1:$I$1</c:f>
              <c:strCache>
                <c:ptCount val="1"/>
                <c:pt idx="0">
                  <c:v>Lighting Option 1 (B/I, O/M, $32)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'Westside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'Westside Option Prior.'!$I$4:$I$9</c:f>
              <c:numCache>
                <c:formatCode>General</c:formatCode>
                <c:ptCount val="6"/>
                <c:pt idx="0">
                  <c:v>2.42</c:v>
                </c:pt>
                <c:pt idx="1">
                  <c:v>3.81</c:v>
                </c:pt>
                <c:pt idx="2">
                  <c:v>3.65</c:v>
                </c:pt>
                <c:pt idx="3">
                  <c:v>4.42</c:v>
                </c:pt>
                <c:pt idx="4">
                  <c:v>3.23</c:v>
                </c:pt>
                <c:pt idx="5">
                  <c:v>3.46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C-4C9B-94C8-D3E9A73821A9}"/>
            </c:ext>
          </c:extLst>
        </c:ser>
        <c:ser>
          <c:idx val="1"/>
          <c:order val="1"/>
          <c:tx>
            <c:strRef>
              <c:f>'Westside Option Prior.'!$K$1:$L$1</c:f>
              <c:strCache>
                <c:ptCount val="1"/>
                <c:pt idx="0">
                  <c:v>Lighting Option 2 (B/M, O/I, $34)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'Westside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'Westside Option Prior.'!$L$4:$L$9</c:f>
              <c:numCache>
                <c:formatCode>0.00</c:formatCode>
                <c:ptCount val="6"/>
                <c:pt idx="0">
                  <c:v>2.2599999999999998</c:v>
                </c:pt>
                <c:pt idx="1">
                  <c:v>3.49</c:v>
                </c:pt>
                <c:pt idx="2">
                  <c:v>3.75</c:v>
                </c:pt>
                <c:pt idx="3">
                  <c:v>3.94</c:v>
                </c:pt>
                <c:pt idx="4">
                  <c:v>3.4</c:v>
                </c:pt>
                <c:pt idx="5" formatCode="General">
                  <c:v>4.16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2C-4C9B-94C8-D3E9A73821A9}"/>
            </c:ext>
          </c:extLst>
        </c:ser>
        <c:ser>
          <c:idx val="2"/>
          <c:order val="2"/>
          <c:tx>
            <c:strRef>
              <c:f>'Westside Option Prior.'!$N$1:$O$1</c:f>
              <c:strCache>
                <c:ptCount val="1"/>
                <c:pt idx="0">
                  <c:v>Lighting Option 3 (BO/M, O/I, $65)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'Westside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'Westside Option Prior.'!$O$4:$O$9</c:f>
              <c:numCache>
                <c:formatCode>General</c:formatCode>
                <c:ptCount val="6"/>
                <c:pt idx="0">
                  <c:v>2.4400000000000004</c:v>
                </c:pt>
                <c:pt idx="1">
                  <c:v>3.46</c:v>
                </c:pt>
                <c:pt idx="2">
                  <c:v>3.66</c:v>
                </c:pt>
                <c:pt idx="3">
                  <c:v>4.54</c:v>
                </c:pt>
                <c:pt idx="4">
                  <c:v>3.52</c:v>
                </c:pt>
                <c:pt idx="5">
                  <c:v>3.38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2C-4C9B-94C8-D3E9A7382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3289560"/>
        <c:axId val="633286608"/>
      </c:barChart>
      <c:catAx>
        <c:axId val="633289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6608"/>
        <c:crosses val="autoZero"/>
        <c:auto val="1"/>
        <c:lblAlgn val="ctr"/>
        <c:lblOffset val="100"/>
        <c:noMultiLvlLbl val="0"/>
      </c:catAx>
      <c:valAx>
        <c:axId val="63328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9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Westside Respondents' </a:t>
            </a:r>
            <a:r>
              <a:rPr lang="en-US" b="1"/>
              <a:t>Choices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'Westside Option Prior.'!$C$3</c:f>
              <c:strCache>
                <c:ptCount val="1"/>
                <c:pt idx="0">
                  <c:v>Choices (%)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'Westside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'Westside Option Prior.'!$C$4:$C$9</c:f>
              <c:numCache>
                <c:formatCode>0.00%</c:formatCode>
                <c:ptCount val="6"/>
                <c:pt idx="0">
                  <c:v>7.9510703363914373E-2</c:v>
                </c:pt>
                <c:pt idx="1">
                  <c:v>0.20183486238532111</c:v>
                </c:pt>
                <c:pt idx="2">
                  <c:v>0.16513761467889909</c:v>
                </c:pt>
                <c:pt idx="3">
                  <c:v>0.24159021406727829</c:v>
                </c:pt>
                <c:pt idx="4">
                  <c:v>0.11926605504587157</c:v>
                </c:pt>
                <c:pt idx="5">
                  <c:v>0.19266055045871561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3-4393-86F8-92D7F6023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3289560"/>
        <c:axId val="633286608"/>
      </c:barChart>
      <c:catAx>
        <c:axId val="633289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6608"/>
        <c:crosses val="autoZero"/>
        <c:auto val="1"/>
        <c:lblAlgn val="ctr"/>
        <c:lblOffset val="100"/>
        <c:noMultiLvlLbl val="0"/>
      </c:catAx>
      <c:valAx>
        <c:axId val="63328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9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Westside Respondents' </a:t>
            </a:r>
            <a:r>
              <a:rPr lang="en-US" b="1"/>
              <a:t>Prioritizations (6=</a:t>
            </a:r>
            <a:r>
              <a:rPr lang="en-US" b="1" baseline="0"/>
              <a:t>highest)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'Westside Option Prior.'!$E$3</c:f>
              <c:strCache>
                <c:ptCount val="1"/>
                <c:pt idx="0">
                  <c:v>Prioritization Mean (7-X)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'Westside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'Westside Option Prior.'!$E$4:$E$9</c:f>
              <c:numCache>
                <c:formatCode>0.00</c:formatCode>
                <c:ptCount val="6"/>
                <c:pt idx="0">
                  <c:v>2.3612903225806452</c:v>
                </c:pt>
                <c:pt idx="1">
                  <c:v>3.5290322580645159</c:v>
                </c:pt>
                <c:pt idx="2">
                  <c:v>3.6967741935483871</c:v>
                </c:pt>
                <c:pt idx="3">
                  <c:v>4.258064516129032</c:v>
                </c:pt>
                <c:pt idx="4">
                  <c:v>3.4193548387096775</c:v>
                </c:pt>
                <c:pt idx="5">
                  <c:v>3.7354838709677418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9-4A2B-A611-FF6F9F703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3289560"/>
        <c:axId val="633286608"/>
      </c:barChart>
      <c:catAx>
        <c:axId val="633289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6608"/>
        <c:crosses val="autoZero"/>
        <c:auto val="1"/>
        <c:lblAlgn val="ctr"/>
        <c:lblOffset val="100"/>
        <c:noMultiLvlLbl val="0"/>
      </c:catAx>
      <c:valAx>
        <c:axId val="63328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9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Trail User Respondents' </a:t>
            </a:r>
            <a:r>
              <a:rPr lang="en-US" b="1"/>
              <a:t>Choices (%)</a:t>
            </a:r>
          </a:p>
          <a:p>
            <a:pPr>
              <a:defRPr/>
            </a:pPr>
            <a:r>
              <a:rPr lang="en-US"/>
              <a:t>by Lighting Option (1, 2, or 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'Trail User Option Prior.'!$H$1:$I$1</c:f>
              <c:strCache>
                <c:ptCount val="1"/>
                <c:pt idx="0">
                  <c:v>Lighting Option 1 (B/I, O/M, $32)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'Trail User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'Trail User Option Prior.'!$H$4:$H$9</c:f>
              <c:numCache>
                <c:formatCode>0.00%</c:formatCode>
                <c:ptCount val="6"/>
                <c:pt idx="0">
                  <c:v>8.3500000000000005E-2</c:v>
                </c:pt>
                <c:pt idx="1">
                  <c:v>0.1608</c:v>
                </c:pt>
                <c:pt idx="2">
                  <c:v>0.1628</c:v>
                </c:pt>
                <c:pt idx="3">
                  <c:v>0.24840000000000001</c:v>
                </c:pt>
                <c:pt idx="4">
                  <c:v>0.15240000000000001</c:v>
                </c:pt>
                <c:pt idx="5">
                  <c:v>0.19209999999999999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E-4227-86CF-7EC982930B71}"/>
            </c:ext>
          </c:extLst>
        </c:ser>
        <c:ser>
          <c:idx val="1"/>
          <c:order val="1"/>
          <c:tx>
            <c:strRef>
              <c:f>'Trail User Option Prior.'!$K$1:$L$1</c:f>
              <c:strCache>
                <c:ptCount val="1"/>
                <c:pt idx="0">
                  <c:v>Lighting Option 2 (B/M, O/I, $34)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'Trail User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'Trail User Option Prior.'!$K$4:$K$9</c:f>
              <c:numCache>
                <c:formatCode>0.00%</c:formatCode>
                <c:ptCount val="6"/>
                <c:pt idx="0">
                  <c:v>8.1299999999999997E-2</c:v>
                </c:pt>
                <c:pt idx="1">
                  <c:v>0.16750000000000001</c:v>
                </c:pt>
                <c:pt idx="2">
                  <c:v>0.20649999999999999</c:v>
                </c:pt>
                <c:pt idx="3">
                  <c:v>0.22600000000000001</c:v>
                </c:pt>
                <c:pt idx="4">
                  <c:v>0.1203</c:v>
                </c:pt>
                <c:pt idx="5">
                  <c:v>0.19839999999999999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E-4227-86CF-7EC982930B71}"/>
            </c:ext>
          </c:extLst>
        </c:ser>
        <c:ser>
          <c:idx val="2"/>
          <c:order val="2"/>
          <c:tx>
            <c:strRef>
              <c:f>'Trail User Option Prior.'!$N$1:$O$1</c:f>
              <c:strCache>
                <c:ptCount val="1"/>
                <c:pt idx="0">
                  <c:v>Lighting Option 3 (BO/M, O/I, $65)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'Trail User Option Prior.'!$B$4:$B$9</c:f>
              <c:strCache>
                <c:ptCount val="6"/>
                <c:pt idx="0">
                  <c:v>Decorative Accents in Concrete - $7</c:v>
                </c:pt>
                <c:pt idx="1">
                  <c:v>Decorative Accents Along Trail - $3</c:v>
                </c:pt>
                <c:pt idx="2">
                  <c:v>Decorative Accents and Planters at Seating Areas - $6</c:v>
                </c:pt>
                <c:pt idx="3">
                  <c:v>Site Furnishings at Seating Areas, Benches, Trash Receptacles, Bike Repair Stations - $14</c:v>
                </c:pt>
                <c:pt idx="4">
                  <c:v>Trees, Shrubs/Grasses, and Groundcover Plants at Intersections - $25</c:v>
                </c:pt>
                <c:pt idx="5">
                  <c:v>Native Plants and Decorative Gravel Along Trail - $31</c:v>
                </c:pt>
              </c:strCache>
            </c:strRef>
          </c:cat>
          <c:val>
            <c:numRef>
              <c:f>'Trail User Option Prior.'!$N$4:$N$9</c:f>
              <c:numCache>
                <c:formatCode>0.00%</c:formatCode>
                <c:ptCount val="6"/>
                <c:pt idx="0">
                  <c:v>0.1119</c:v>
                </c:pt>
                <c:pt idx="1">
                  <c:v>0.24629999999999999</c:v>
                </c:pt>
                <c:pt idx="2">
                  <c:v>0.20150000000000001</c:v>
                </c:pt>
                <c:pt idx="3">
                  <c:v>0.25369999999999998</c:v>
                </c:pt>
                <c:pt idx="4">
                  <c:v>0.1045</c:v>
                </c:pt>
                <c:pt idx="5">
                  <c:v>8.2100000000000006E-2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1E-4227-86CF-7EC982930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3289560"/>
        <c:axId val="633286608"/>
      </c:barChart>
      <c:catAx>
        <c:axId val="633289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6608"/>
        <c:crosses val="autoZero"/>
        <c:auto val="1"/>
        <c:lblAlgn val="ctr"/>
        <c:lblOffset val="100"/>
        <c:noMultiLvlLbl val="0"/>
      </c:catAx>
      <c:valAx>
        <c:axId val="63328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289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984559</xdr:colOff>
      <xdr:row>17</xdr:row>
      <xdr:rowOff>119024</xdr:rowOff>
    </xdr:from>
    <xdr:to>
      <xdr:col>14</xdr:col>
      <xdr:colOff>434060</xdr:colOff>
      <xdr:row>37</xdr:row>
      <xdr:rowOff>7477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D923FA8-95BE-4AE4-ADF4-8808033BED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991460</xdr:colOff>
      <xdr:row>38</xdr:row>
      <xdr:rowOff>37920</xdr:rowOff>
    </xdr:from>
    <xdr:to>
      <xdr:col>14</xdr:col>
      <xdr:colOff>437605</xdr:colOff>
      <xdr:row>58</xdr:row>
      <xdr:rowOff>175010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9D46833-CB7E-46AB-96A7-0A4F1C275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800647</xdr:colOff>
      <xdr:row>63</xdr:row>
      <xdr:rowOff>61881</xdr:rowOff>
    </xdr:from>
    <xdr:to>
      <xdr:col>15</xdr:col>
      <xdr:colOff>398407</xdr:colOff>
      <xdr:row>80</xdr:row>
      <xdr:rowOff>22651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495AA1-C36A-40B8-9C2A-F7962DEAED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541" t="4698" r="6161"/>
        <a:stretch/>
      </xdr:blipFill>
      <xdr:spPr>
        <a:xfrm>
          <a:off x="10862113" y="11984553"/>
          <a:ext cx="7312966" cy="3130536"/>
        </a:xfrm>
        <a:prstGeom prst="rect">
          <a:avLst/>
        </a:prstGeom>
      </xdr:spPr>
    </xdr:pic>
    <xdr:clientData/>
  </xdr:twoCellAnchor>
  <xdr:twoCellAnchor editAs="oneCell">
    <xdr:from>
      <xdr:col>7</xdr:col>
      <xdr:colOff>541699</xdr:colOff>
      <xdr:row>80</xdr:row>
      <xdr:rowOff>140904</xdr:rowOff>
    </xdr:from>
    <xdr:to>
      <xdr:col>16</xdr:col>
      <xdr:colOff>131484</xdr:colOff>
      <xdr:row>91</xdr:row>
      <xdr:rowOff>21191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E19398F-EFC4-4FA5-BA37-EAA328B94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03165" y="15227628"/>
          <a:ext cx="7921904" cy="1937141"/>
        </a:xfrm>
        <a:prstGeom prst="rect">
          <a:avLst/>
        </a:prstGeom>
      </xdr:spPr>
    </xdr:pic>
    <xdr:clientData/>
  </xdr:twoCellAnchor>
  <xdr:twoCellAnchor>
    <xdr:from>
      <xdr:col>1</xdr:col>
      <xdr:colOff>4182241</xdr:colOff>
      <xdr:row>17</xdr:row>
      <xdr:rowOff>131379</xdr:rowOff>
    </xdr:from>
    <xdr:to>
      <xdr:col>7</xdr:col>
      <xdr:colOff>263482</xdr:colOff>
      <xdr:row>37</xdr:row>
      <xdr:rowOff>19832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630C8F6-1BC3-4C4E-B5AB-736B47E49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4192952</xdr:colOff>
      <xdr:row>38</xdr:row>
      <xdr:rowOff>46465</xdr:rowOff>
    </xdr:from>
    <xdr:to>
      <xdr:col>7</xdr:col>
      <xdr:colOff>267027</xdr:colOff>
      <xdr:row>58</xdr:row>
      <xdr:rowOff>185460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94984D8-4D27-4EC9-923E-A176FA2AE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22</xdr:row>
      <xdr:rowOff>0</xdr:rowOff>
    </xdr:from>
    <xdr:to>
      <xdr:col>16</xdr:col>
      <xdr:colOff>496595</xdr:colOff>
      <xdr:row>41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D0126D-6CA0-4C40-968C-DEB585BB3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10250194" cy="351282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60961</xdr:colOff>
      <xdr:row>43</xdr:row>
      <xdr:rowOff>45720</xdr:rowOff>
    </xdr:from>
    <xdr:to>
      <xdr:col>16</xdr:col>
      <xdr:colOff>480053</xdr:colOff>
      <xdr:row>63</xdr:row>
      <xdr:rowOff>174622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987D35-0AED-45FC-B572-C6DEAD2D5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1" y="3886200"/>
          <a:ext cx="10172692" cy="378650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30481</xdr:colOff>
      <xdr:row>66</xdr:row>
      <xdr:rowOff>94255</xdr:rowOff>
    </xdr:from>
    <xdr:to>
      <xdr:col>16</xdr:col>
      <xdr:colOff>487681</xdr:colOff>
      <xdr:row>79</xdr:row>
      <xdr:rowOff>172909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7FF54C-499B-4EFE-8739-4FBFB2B7D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1" y="8140975"/>
          <a:ext cx="10210800" cy="245609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15241</xdr:colOff>
      <xdr:row>82</xdr:row>
      <xdr:rowOff>129454</xdr:rowOff>
    </xdr:from>
    <xdr:to>
      <xdr:col>16</xdr:col>
      <xdr:colOff>541021</xdr:colOff>
      <xdr:row>101</xdr:row>
      <xdr:rowOff>67965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E915CD5-3050-415A-88E3-A0F4845A7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1" y="11102254"/>
          <a:ext cx="10279380" cy="3413231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182881</xdr:colOff>
      <xdr:row>2</xdr:row>
      <xdr:rowOff>167640</xdr:rowOff>
    </xdr:from>
    <xdr:to>
      <xdr:col>5</xdr:col>
      <xdr:colOff>45720</xdr:colOff>
      <xdr:row>18</xdr:row>
      <xdr:rowOff>177225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996286-0FE8-4FFC-B79C-F0EF94854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881" y="533400"/>
          <a:ext cx="2910839" cy="2935665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104</xdr:row>
      <xdr:rowOff>20955</xdr:rowOff>
    </xdr:from>
    <xdr:to>
      <xdr:col>13</xdr:col>
      <xdr:colOff>447632</xdr:colOff>
      <xdr:row>122</xdr:row>
      <xdr:rowOff>76200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7B37E29-81FD-4219-A559-7B3A64217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440" y="18842355"/>
          <a:ext cx="8280992" cy="33127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977422</xdr:colOff>
      <xdr:row>17</xdr:row>
      <xdr:rowOff>90433</xdr:rowOff>
    </xdr:from>
    <xdr:to>
      <xdr:col>14</xdr:col>
      <xdr:colOff>447878</xdr:colOff>
      <xdr:row>36</xdr:row>
      <xdr:rowOff>174531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5FE910-C82C-4B02-A8BD-EDFBDBB2F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972893</xdr:colOff>
      <xdr:row>38</xdr:row>
      <xdr:rowOff>16949</xdr:rowOff>
    </xdr:from>
    <xdr:to>
      <xdr:col>14</xdr:col>
      <xdr:colOff>441898</xdr:colOff>
      <xdr:row>58</xdr:row>
      <xdr:rowOff>171184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8F01D0-20A4-4F27-AE31-5B94755EC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4173199</xdr:colOff>
      <xdr:row>17</xdr:row>
      <xdr:rowOff>133268</xdr:rowOff>
    </xdr:from>
    <xdr:to>
      <xdr:col>7</xdr:col>
      <xdr:colOff>248725</xdr:colOff>
      <xdr:row>37</xdr:row>
      <xdr:rowOff>19816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7D49E64-B267-458D-9632-77ECAD799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4180100</xdr:colOff>
      <xdr:row>38</xdr:row>
      <xdr:rowOff>33114</xdr:rowOff>
    </xdr:from>
    <xdr:to>
      <xdr:col>7</xdr:col>
      <xdr:colOff>256080</xdr:colOff>
      <xdr:row>58</xdr:row>
      <xdr:rowOff>174014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3E01A80-DBCB-49FA-AF51-B8F5F4452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</xdr:colOff>
      <xdr:row>65</xdr:row>
      <xdr:rowOff>105728</xdr:rowOff>
    </xdr:from>
    <xdr:to>
      <xdr:col>14</xdr:col>
      <xdr:colOff>206556</xdr:colOff>
      <xdr:row>80</xdr:row>
      <xdr:rowOff>1904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3ED2568-54DC-4A52-98CF-55CECE373B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31"/>
        <a:stretch/>
      </xdr:blipFill>
      <xdr:spPr>
        <a:xfrm>
          <a:off x="55245" y="11859578"/>
          <a:ext cx="8079921" cy="2622231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</xdr:colOff>
      <xdr:row>3</xdr:row>
      <xdr:rowOff>40005</xdr:rowOff>
    </xdr:from>
    <xdr:to>
      <xdr:col>5</xdr:col>
      <xdr:colOff>590550</xdr:colOff>
      <xdr:row>19</xdr:row>
      <xdr:rowOff>92639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69B9271-0245-4921-A43F-64FDECF37C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74"/>
        <a:stretch/>
      </xdr:blipFill>
      <xdr:spPr>
        <a:xfrm>
          <a:off x="20955" y="582930"/>
          <a:ext cx="3004185" cy="29444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66675</xdr:rowOff>
    </xdr:from>
    <xdr:to>
      <xdr:col>13</xdr:col>
      <xdr:colOff>438584</xdr:colOff>
      <xdr:row>41</xdr:row>
      <xdr:rowOff>87144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033801A-166F-4A85-8479-618E99EF4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048125"/>
          <a:ext cx="7757594" cy="3466614"/>
        </a:xfrm>
        <a:prstGeom prst="rect">
          <a:avLst/>
        </a:prstGeom>
      </xdr:spPr>
    </xdr:pic>
    <xdr:clientData/>
  </xdr:twoCellAnchor>
  <xdr:twoCellAnchor editAs="oneCell">
    <xdr:from>
      <xdr:col>1</xdr:col>
      <xdr:colOff>74294</xdr:colOff>
      <xdr:row>43</xdr:row>
      <xdr:rowOff>135225</xdr:rowOff>
    </xdr:from>
    <xdr:to>
      <xdr:col>14</xdr:col>
      <xdr:colOff>432434</xdr:colOff>
      <xdr:row>63</xdr:row>
      <xdr:rowOff>136736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7ED718D-3706-4468-8FE7-CE5D15D42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294" y="7907625"/>
          <a:ext cx="8277225" cy="36172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40005</xdr:rowOff>
    </xdr:from>
    <xdr:to>
      <xdr:col>14</xdr:col>
      <xdr:colOff>151390</xdr:colOff>
      <xdr:row>101</xdr:row>
      <xdr:rowOff>111952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1C61746-9D37-444F-8B6F-58D486A8F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4908530"/>
          <a:ext cx="8076190" cy="3533332"/>
        </a:xfrm>
        <a:prstGeom prst="rect">
          <a:avLst/>
        </a:prstGeom>
      </xdr:spPr>
    </xdr:pic>
    <xdr:clientData/>
  </xdr:twoCellAnchor>
  <xdr:twoCellAnchor editAs="oneCell">
    <xdr:from>
      <xdr:col>1</xdr:col>
      <xdr:colOff>129539</xdr:colOff>
      <xdr:row>103</xdr:row>
      <xdr:rowOff>177164</xdr:rowOff>
    </xdr:from>
    <xdr:to>
      <xdr:col>14</xdr:col>
      <xdr:colOff>215688</xdr:colOff>
      <xdr:row>121</xdr:row>
      <xdr:rowOff>171449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AB9583C-7298-4AFE-B390-6405ECC7A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9539" y="18865214"/>
          <a:ext cx="8010949" cy="32518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977422</xdr:colOff>
      <xdr:row>17</xdr:row>
      <xdr:rowOff>90433</xdr:rowOff>
    </xdr:from>
    <xdr:to>
      <xdr:col>14</xdr:col>
      <xdr:colOff>447878</xdr:colOff>
      <xdr:row>36</xdr:row>
      <xdr:rowOff>174531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B4C677-77D1-4E9C-BBE2-92FCABBE0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972893</xdr:colOff>
      <xdr:row>38</xdr:row>
      <xdr:rowOff>16949</xdr:rowOff>
    </xdr:from>
    <xdr:to>
      <xdr:col>14</xdr:col>
      <xdr:colOff>441898</xdr:colOff>
      <xdr:row>58</xdr:row>
      <xdr:rowOff>171184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BD282B-D8D5-4865-AEE7-6E5BC1109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4173199</xdr:colOff>
      <xdr:row>17</xdr:row>
      <xdr:rowOff>133268</xdr:rowOff>
    </xdr:from>
    <xdr:to>
      <xdr:col>7</xdr:col>
      <xdr:colOff>248725</xdr:colOff>
      <xdr:row>37</xdr:row>
      <xdr:rowOff>19816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B3A40E1-65C5-4192-B431-DBC8327C8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4180100</xdr:colOff>
      <xdr:row>38</xdr:row>
      <xdr:rowOff>33114</xdr:rowOff>
    </xdr:from>
    <xdr:to>
      <xdr:col>7</xdr:col>
      <xdr:colOff>256080</xdr:colOff>
      <xdr:row>58</xdr:row>
      <xdr:rowOff>174014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CF24FBB-ED6D-453D-AB7D-8BF90E298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190499</xdr:colOff>
      <xdr:row>104</xdr:row>
      <xdr:rowOff>47625</xdr:rowOff>
    </xdr:from>
    <xdr:to>
      <xdr:col>14</xdr:col>
      <xdr:colOff>169544</xdr:colOff>
      <xdr:row>121</xdr:row>
      <xdr:rowOff>93220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7A081F3-3798-4DFA-87A8-3F54FB6F8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9" y="18859500"/>
          <a:ext cx="7903845" cy="312217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</xdr:colOff>
      <xdr:row>82</xdr:row>
      <xdr:rowOff>161925</xdr:rowOff>
    </xdr:from>
    <xdr:to>
      <xdr:col>14</xdr:col>
      <xdr:colOff>104775</xdr:colOff>
      <xdr:row>101</xdr:row>
      <xdr:rowOff>122003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5D7C126-2309-4DC2-BEFB-AF49CB60E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" y="14992350"/>
          <a:ext cx="7968616" cy="3398603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</xdr:colOff>
      <xdr:row>66</xdr:row>
      <xdr:rowOff>98108</xdr:rowOff>
    </xdr:from>
    <xdr:to>
      <xdr:col>14</xdr:col>
      <xdr:colOff>87629</xdr:colOff>
      <xdr:row>80</xdr:row>
      <xdr:rowOff>18115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AFA9674-EB4F-4141-B790-A88BB73031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46" r="-1"/>
        <a:stretch/>
      </xdr:blipFill>
      <xdr:spPr>
        <a:xfrm>
          <a:off x="11429" y="12032933"/>
          <a:ext cx="7999095" cy="2457467"/>
        </a:xfrm>
        <a:prstGeom prst="rect">
          <a:avLst/>
        </a:prstGeom>
      </xdr:spPr>
    </xdr:pic>
    <xdr:clientData/>
  </xdr:twoCellAnchor>
  <xdr:twoCellAnchor editAs="oneCell">
    <xdr:from>
      <xdr:col>1</xdr:col>
      <xdr:colOff>102871</xdr:colOff>
      <xdr:row>43</xdr:row>
      <xdr:rowOff>140971</xdr:rowOff>
    </xdr:from>
    <xdr:to>
      <xdr:col>14</xdr:col>
      <xdr:colOff>325481</xdr:colOff>
      <xdr:row>64</xdr:row>
      <xdr:rowOff>24766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80E178D-C12F-4AC7-B5B6-5E49617D7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871" y="7913371"/>
          <a:ext cx="8139790" cy="36880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</xdr:row>
      <xdr:rowOff>133350</xdr:rowOff>
    </xdr:from>
    <xdr:to>
      <xdr:col>13</xdr:col>
      <xdr:colOff>330515</xdr:colOff>
      <xdr:row>41</xdr:row>
      <xdr:rowOff>102445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84BCC4-E9DA-4710-892C-89FD1164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4114800"/>
          <a:ext cx="7641905" cy="34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9525</xdr:rowOff>
    </xdr:from>
    <xdr:to>
      <xdr:col>6</xdr:col>
      <xdr:colOff>38101</xdr:colOff>
      <xdr:row>19</xdr:row>
      <xdr:rowOff>127324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CDA9EEA-785A-4D73-ACFA-AE30EA105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52450"/>
          <a:ext cx="3086101" cy="30076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977422</xdr:colOff>
      <xdr:row>17</xdr:row>
      <xdr:rowOff>90433</xdr:rowOff>
    </xdr:from>
    <xdr:to>
      <xdr:col>14</xdr:col>
      <xdr:colOff>447878</xdr:colOff>
      <xdr:row>36</xdr:row>
      <xdr:rowOff>174531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2244850-584A-47D6-ACD4-FD8FFA443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972893</xdr:colOff>
      <xdr:row>38</xdr:row>
      <xdr:rowOff>16949</xdr:rowOff>
    </xdr:from>
    <xdr:to>
      <xdr:col>14</xdr:col>
      <xdr:colOff>441898</xdr:colOff>
      <xdr:row>58</xdr:row>
      <xdr:rowOff>171184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1F5DE0D-04B7-44ED-AA79-26BA6B93A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4173199</xdr:colOff>
      <xdr:row>17</xdr:row>
      <xdr:rowOff>133268</xdr:rowOff>
    </xdr:from>
    <xdr:to>
      <xdr:col>7</xdr:col>
      <xdr:colOff>248725</xdr:colOff>
      <xdr:row>37</xdr:row>
      <xdr:rowOff>19816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0FD0BA6-7EEA-4247-B906-F64E22587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4180100</xdr:colOff>
      <xdr:row>38</xdr:row>
      <xdr:rowOff>33114</xdr:rowOff>
    </xdr:from>
    <xdr:to>
      <xdr:col>7</xdr:col>
      <xdr:colOff>256080</xdr:colOff>
      <xdr:row>58</xdr:row>
      <xdr:rowOff>174014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07A04C6-73F2-475A-8B65-660460323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82</xdr:row>
      <xdr:rowOff>114300</xdr:rowOff>
    </xdr:from>
    <xdr:to>
      <xdr:col>16</xdr:col>
      <xdr:colOff>545199</xdr:colOff>
      <xdr:row>101</xdr:row>
      <xdr:rowOff>87010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0F251E2-6E27-4D30-8BFB-E36EA4656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102840"/>
          <a:ext cx="10296894" cy="344552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30481</xdr:colOff>
      <xdr:row>66</xdr:row>
      <xdr:rowOff>27624</xdr:rowOff>
    </xdr:from>
    <xdr:to>
      <xdr:col>16</xdr:col>
      <xdr:colOff>504825</xdr:colOff>
      <xdr:row>80</xdr:row>
      <xdr:rowOff>2358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E77599B-DCBE-43D2-9A00-955B48A60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1" y="12090084"/>
          <a:ext cx="10226039" cy="2535054"/>
        </a:xfrm>
        <a:prstGeom prst="rect">
          <a:avLst/>
        </a:prstGeom>
      </xdr:spPr>
    </xdr:pic>
    <xdr:clientData/>
  </xdr:twoCellAnchor>
  <xdr:twoCellAnchor editAs="oneCell">
    <xdr:from>
      <xdr:col>0</xdr:col>
      <xdr:colOff>69610</xdr:colOff>
      <xdr:row>3</xdr:row>
      <xdr:rowOff>53340</xdr:rowOff>
    </xdr:from>
    <xdr:to>
      <xdr:col>5</xdr:col>
      <xdr:colOff>170493</xdr:colOff>
      <xdr:row>19</xdr:row>
      <xdr:rowOff>18169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9B4186-5119-4E9A-8B9D-B80B4EF20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610" y="601980"/>
          <a:ext cx="3145073" cy="28947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7620</xdr:rowOff>
    </xdr:from>
    <xdr:to>
      <xdr:col>16</xdr:col>
      <xdr:colOff>478762</xdr:colOff>
      <xdr:row>122</xdr:row>
      <xdr:rowOff>10867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13C026D-7391-4BA8-AB6C-427FC5B2F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019520"/>
          <a:ext cx="10228552" cy="3316042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22</xdr:row>
      <xdr:rowOff>95189</xdr:rowOff>
    </xdr:from>
    <xdr:to>
      <xdr:col>15</xdr:col>
      <xdr:colOff>590550</xdr:colOff>
      <xdr:row>41</xdr:row>
      <xdr:rowOff>174639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34A407B-2540-4BF2-81BA-3B694BDC9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4301" y="4118549"/>
          <a:ext cx="9624059" cy="355036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83821</xdr:colOff>
      <xdr:row>43</xdr:row>
      <xdr:rowOff>121920</xdr:rowOff>
    </xdr:from>
    <xdr:to>
      <xdr:col>16</xdr:col>
      <xdr:colOff>575276</xdr:colOff>
      <xdr:row>64</xdr:row>
      <xdr:rowOff>16518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A59521-60AC-401D-8E73-C6AE354AA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821" y="7978140"/>
          <a:ext cx="10245055" cy="373126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Tom Millar" id="{E221BDF4-7592-4797-A357-8A2A3E2C73CD}" userId="S::Tom.Millar@slcgov.com::79c80061-3f09-47fe-803a-45e8f099b1d5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1" dT="2020-05-11T13:08:16.47" personId="{E221BDF4-7592-4797-A357-8A2A3E2C73CD}" id="{DAB46B4F-CDCE-448E-9D87-AA98E7D80E89}">
    <text>May indicate that people did not want to spend 2/3 of their budget on lighting and that it's not 2x more desired than any other option.</text>
  </threadedComment>
  <threadedComment ref="K2" dT="2020-05-11T23:00:51.09" personId="{E221BDF4-7592-4797-A357-8A2A3E2C73CD}" id="{D6332802-AEA7-4355-9AAF-807B42B053DD}">
    <text>Trail users tend to favor this option even more than the overall.</text>
  </threadedComment>
  <threadedComment ref="E3" dT="2020-05-11T13:16:40.94" personId="{E221BDF4-7592-4797-A357-8A2A3E2C73CD}" id="{278D5791-45A3-409F-905B-DA04A33AE955}">
    <text>Asked to rank/prioritize 1-6. The lowest mean, then, was the "highest ranked". I have provided the inverse here so that the highest number is the highest ranked. This will help with bar charts and other graphs, too.</text>
  </threadedComment>
  <threadedComment ref="I3" dT="2020-05-11T13:16:40.94" personId="{E221BDF4-7592-4797-A357-8A2A3E2C73CD}" id="{FD924396-F636-46CE-B823-AD1810607A62}">
    <text>Asked to rank/prioritize 1-6. The lowest mean, then, was the "highest ranked". I have provided the inverse here so that the highest number is the highest ranked. This will help with bar charts and other graphs, too.</text>
  </threadedComment>
  <threadedComment ref="L3" dT="2020-05-11T13:16:40.94" personId="{E221BDF4-7592-4797-A357-8A2A3E2C73CD}" id="{FE32D1B9-07AE-49D2-A706-0F79B155C85C}">
    <text>Asked to rank/prioritize 1-6. The lowest mean, then, was the "highest ranked". I have provided the inverse here so that the highest number is the highest ranked. This will help with bar charts and other graphs, too.</text>
  </threadedComment>
  <threadedComment ref="O3" dT="2020-05-11T13:16:40.94" personId="{E221BDF4-7592-4797-A357-8A2A3E2C73CD}" id="{8D7C9D3A-F7B0-44CA-BC4D-870BEB2F7642}">
    <text>Asked to rank/prioritize 1-6. The lowest mean, then, was the "highest ranked". I have provided the inverse here so that the highest number is the highest ranked. This will help with bar charts and other graphs, too.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N1" dT="2020-05-11T13:08:16.47" personId="{E221BDF4-7592-4797-A357-8A2A3E2C73CD}" id="{FA5ACE7C-C20A-49C9-8F02-C38F79168200}">
    <text>May indicate that people did not want to spend 2/3 of their budget on lighting and that it's not 2x more desired than any other option.</text>
  </threadedComment>
  <threadedComment ref="E3" dT="2020-05-11T13:16:40.94" personId="{E221BDF4-7592-4797-A357-8A2A3E2C73CD}" id="{6EA97602-5ABA-405D-845E-AB8642D13DAF}">
    <text>Asked to rank/prioritize 1-6. The lowest mean, then, was the "highest ranked". I have provided the inverse here so that the highest number is the highest ranked. This will help with bar charts and other graphs, too.</text>
  </threadedComment>
  <threadedComment ref="I3" dT="2020-05-11T13:16:40.94" personId="{E221BDF4-7592-4797-A357-8A2A3E2C73CD}" id="{96FF94AE-82B7-4F2F-AC1C-31B7236AC1A5}">
    <text>Asked to rank/prioritize 1-6. The lowest mean, then, was the "highest ranked". I have provided the inverse here so that the highest number is the highest ranked. This will help with bar charts and other graphs, too.</text>
  </threadedComment>
  <threadedComment ref="L3" dT="2020-05-11T13:16:40.94" personId="{E221BDF4-7592-4797-A357-8A2A3E2C73CD}" id="{CF53023B-431E-44A2-B1E5-48F9912305BD}">
    <text>Asked to rank/prioritize 1-6. The lowest mean, then, was the "highest ranked". I have provided the inverse here so that the highest number is the highest ranked. This will help with bar charts and other graphs, too.</text>
  </threadedComment>
  <threadedComment ref="O3" dT="2020-05-11T13:16:40.94" personId="{E221BDF4-7592-4797-A357-8A2A3E2C73CD}" id="{86379357-8A97-456D-87F8-E4F1734FF3DE}">
    <text>Asked to rank/prioritize 1-6. The lowest mean, then, was the "highest ranked". I have provided the inverse here so that the highest number is the highest ranked. This will help with bar charts and other graphs, too.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N1" dT="2020-05-11T13:08:16.47" personId="{E221BDF4-7592-4797-A357-8A2A3E2C73CD}" id="{A6EB03AE-FE67-4B86-B4D6-8A07AE7D754D}">
    <text>May indicate that people did not want to spend 2/3 of their budget on lighting and that it's not 2x more desired than any other option.</text>
  </threadedComment>
  <threadedComment ref="E3" dT="2020-05-11T13:16:40.94" personId="{E221BDF4-7592-4797-A357-8A2A3E2C73CD}" id="{2722D53A-C408-45B9-92F2-BA946F52498D}">
    <text>Asked to rank/prioritize 1-6. The lowest mean, then, was the "highest ranked". I have provided the inverse here so that the highest number is the highest ranked. This will help with bar charts and other graphs, too.</text>
  </threadedComment>
  <threadedComment ref="I3" dT="2020-05-11T13:16:40.94" personId="{E221BDF4-7592-4797-A357-8A2A3E2C73CD}" id="{FDB29C00-276A-4EBF-979D-3DAB2AA1BDC8}">
    <text>Asked to rank/prioritize 1-6. The lowest mean, then, was the "highest ranked". I have provided the inverse here so that the highest number is the highest ranked. This will help with bar charts and other graphs, too.</text>
  </threadedComment>
  <threadedComment ref="L3" dT="2020-05-11T13:16:40.94" personId="{E221BDF4-7592-4797-A357-8A2A3E2C73CD}" id="{E169C10F-72AF-4221-9CC4-073071DCF52E}">
    <text>Asked to rank/prioritize 1-6. The lowest mean, then, was the "highest ranked". I have provided the inverse here so that the highest number is the highest ranked. This will help with bar charts and other graphs, too.</text>
  </threadedComment>
  <threadedComment ref="O3" dT="2020-05-11T13:16:40.94" personId="{E221BDF4-7592-4797-A357-8A2A3E2C73CD}" id="{37D83A4C-BF3E-446B-8334-8557132BE3E3}">
    <text>Asked to rank/prioritize 1-6. The lowest mean, then, was the "highest ranked". I have provided the inverse here so that the highest number is the highest ranked. This will help with bar charts and other graphs, too.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N1" dT="2020-05-11T13:08:16.47" personId="{E221BDF4-7592-4797-A357-8A2A3E2C73CD}" id="{9D0D0EF3-7354-4454-B32E-BDBCFA8E7FC1}">
    <text>May indicate that people did not want to spend 2/3 of their budget on lighting and that it's not 2x more desired than any other option.</text>
  </threadedComment>
  <threadedComment ref="E3" dT="2020-05-11T13:16:40.94" personId="{E221BDF4-7592-4797-A357-8A2A3E2C73CD}" id="{71E21751-937F-465D-B36E-81AFE2739ED5}">
    <text>Asked to rank/prioritize 1-6. The lowest mean, then, was the "highest ranked". I have provided the inverse here so that the highest number is the highest ranked. This will help with bar charts and other graphs, too.</text>
  </threadedComment>
  <threadedComment ref="I3" dT="2020-05-11T13:16:40.94" personId="{E221BDF4-7592-4797-A357-8A2A3E2C73CD}" id="{BC2A45F5-E0B8-426E-A8BB-1CA3BE392AFD}">
    <text>Asked to rank/prioritize 1-6. The lowest mean, then, was the "highest ranked". I have provided the inverse here so that the highest number is the highest ranked. This will help with bar charts and other graphs, too.</text>
  </threadedComment>
  <threadedComment ref="L3" dT="2020-05-11T13:16:40.94" personId="{E221BDF4-7592-4797-A357-8A2A3E2C73CD}" id="{1FE516EE-7F1E-45E3-9DC1-99D121472FB2}">
    <text>Asked to rank/prioritize 1-6. The lowest mean, then, was the "highest ranked". I have provided the inverse here so that the highest number is the highest ranked. This will help with bar charts and other graphs, too.</text>
  </threadedComment>
  <threadedComment ref="O3" dT="2020-05-11T13:16:40.94" personId="{E221BDF4-7592-4797-A357-8A2A3E2C73CD}" id="{9CBC3B67-89CA-4C1A-A3C4-60FFDE367A04}">
    <text>Asked to rank/prioritize 1-6. The lowest mean, then, was the "highest ranked". I have provided the inverse here so that the highest number is the highest ranked. This will help with bar charts and other graphs, too.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18988-9C24-4928-A99B-D44E591F1D7F}">
  <dimension ref="A1:O18"/>
  <sheetViews>
    <sheetView tabSelected="1" zoomScale="87" zoomScaleNormal="87" workbookViewId="0">
      <selection activeCell="B10" sqref="B10"/>
    </sheetView>
  </sheetViews>
  <sheetFormatPr defaultRowHeight="14.4" x14ac:dyDescent="0.3"/>
  <cols>
    <col min="1" max="1" width="2" bestFit="1" customWidth="1"/>
    <col min="2" max="2" width="80.5546875" customWidth="1"/>
    <col min="3" max="3" width="16.77734375" customWidth="1"/>
    <col min="4" max="4" width="10.77734375" customWidth="1"/>
    <col min="5" max="5" width="16.77734375" customWidth="1"/>
    <col min="6" max="6" width="10.77734375" customWidth="1"/>
    <col min="7" max="7" width="8.88671875" customWidth="1"/>
    <col min="8" max="9" width="16.77734375" style="2" customWidth="1"/>
    <col min="10" max="10" width="5.77734375" style="9" customWidth="1"/>
    <col min="11" max="12" width="16.77734375" style="2" customWidth="1"/>
    <col min="13" max="13" width="5.77734375" style="23" customWidth="1"/>
    <col min="14" max="15" width="16.77734375" style="2" customWidth="1"/>
  </cols>
  <sheetData>
    <row r="1" spans="1:15" x14ac:dyDescent="0.3">
      <c r="C1" s="61" t="s">
        <v>38</v>
      </c>
      <c r="D1" s="61"/>
      <c r="E1" s="61"/>
      <c r="F1" s="61"/>
      <c r="G1" s="3"/>
      <c r="H1" s="60" t="s">
        <v>22</v>
      </c>
      <c r="I1" s="60"/>
      <c r="J1" s="3"/>
      <c r="K1" s="57" t="s">
        <v>26</v>
      </c>
      <c r="L1" s="57"/>
      <c r="M1" s="21"/>
      <c r="N1" s="58" t="s">
        <v>28</v>
      </c>
      <c r="O1" s="58"/>
    </row>
    <row r="2" spans="1:15" x14ac:dyDescent="0.3">
      <c r="C2" s="63" t="s">
        <v>24</v>
      </c>
      <c r="D2" s="63"/>
      <c r="E2" s="63"/>
      <c r="F2" s="63"/>
      <c r="G2" s="3"/>
      <c r="H2" s="62" t="s">
        <v>23</v>
      </c>
      <c r="I2" s="62"/>
      <c r="J2" s="3"/>
      <c r="K2" s="64" t="s">
        <v>25</v>
      </c>
      <c r="L2" s="64"/>
      <c r="M2" s="21"/>
      <c r="N2" s="65" t="s">
        <v>27</v>
      </c>
      <c r="O2" s="65"/>
    </row>
    <row r="3" spans="1:15" ht="30" customHeight="1" x14ac:dyDescent="0.3">
      <c r="A3" s="1" t="s">
        <v>0</v>
      </c>
      <c r="B3" s="1" t="s">
        <v>60</v>
      </c>
      <c r="C3" s="29" t="s">
        <v>29</v>
      </c>
      <c r="D3" s="29" t="s">
        <v>16</v>
      </c>
      <c r="E3" s="29" t="s">
        <v>17</v>
      </c>
      <c r="F3" s="29" t="s">
        <v>21</v>
      </c>
      <c r="G3" s="29"/>
      <c r="H3" s="29" t="s">
        <v>7</v>
      </c>
      <c r="I3" s="29" t="s">
        <v>17</v>
      </c>
      <c r="J3" s="29"/>
      <c r="K3" s="29" t="s">
        <v>7</v>
      </c>
      <c r="L3" s="29" t="s">
        <v>17</v>
      </c>
      <c r="M3" s="30"/>
      <c r="N3" s="29" t="s">
        <v>7</v>
      </c>
      <c r="O3" s="29" t="s">
        <v>17</v>
      </c>
    </row>
    <row r="4" spans="1:15" x14ac:dyDescent="0.3">
      <c r="A4">
        <v>1</v>
      </c>
      <c r="B4" t="s">
        <v>1</v>
      </c>
      <c r="C4" s="5">
        <f>(33+81+63)/2061</f>
        <v>8.5880640465793301E-2</v>
      </c>
      <c r="D4" s="25">
        <v>6</v>
      </c>
      <c r="E4" s="28">
        <f>7-(((13+32+18)*1)+((19+29+30)*2)+((24+54+41)*3)+((21+54+48)*4)+((21+66+44)*5)+((45+195+146)*6))/(143+430+327)</f>
        <v>2.5122222222222224</v>
      </c>
      <c r="F4" s="19">
        <v>6</v>
      </c>
      <c r="G4" s="20"/>
      <c r="H4" s="5">
        <v>8.2400000000000001E-2</v>
      </c>
      <c r="I4" s="11">
        <f>7-4.55</f>
        <v>2.4500000000000002</v>
      </c>
      <c r="J4" s="22"/>
      <c r="K4" s="5">
        <v>8.1100000000000005E-2</v>
      </c>
      <c r="L4" s="11">
        <f>7-4.58</f>
        <v>2.42</v>
      </c>
      <c r="M4" s="22"/>
      <c r="N4" s="5">
        <v>0.1111</v>
      </c>
      <c r="O4" s="6">
        <f>7-4.07</f>
        <v>2.9299999999999997</v>
      </c>
    </row>
    <row r="5" spans="1:15" x14ac:dyDescent="0.3">
      <c r="A5" s="71">
        <v>2</v>
      </c>
      <c r="B5" s="71" t="s">
        <v>2</v>
      </c>
      <c r="C5" s="4">
        <f>(68+173+116)/2061</f>
        <v>0.17321688500727803</v>
      </c>
      <c r="D5" s="25">
        <v>4</v>
      </c>
      <c r="E5" s="27">
        <f>7-(((35+51+41)*1)+((21+85+52)*2)+((23+78+45)*3)+((24+77+60)*4)+((26+100+92)*5)+((14+39+37)*6))/(143+430+327)</f>
        <v>3.4944444444444445</v>
      </c>
      <c r="F5" s="19">
        <v>4</v>
      </c>
      <c r="G5" s="9"/>
      <c r="H5" s="4">
        <v>0.15160000000000001</v>
      </c>
      <c r="I5" s="10">
        <f>7-3.68</f>
        <v>3.32</v>
      </c>
      <c r="J5" s="22"/>
      <c r="K5" s="51">
        <v>0.17319999999999999</v>
      </c>
      <c r="L5" s="10">
        <f>7-3.48</f>
        <v>3.52</v>
      </c>
      <c r="M5" s="22"/>
      <c r="N5" s="12">
        <v>0.22900000000000001</v>
      </c>
      <c r="O5" s="10">
        <f>7-3.19</f>
        <v>3.81</v>
      </c>
    </row>
    <row r="6" spans="1:15" x14ac:dyDescent="0.3">
      <c r="A6" s="66">
        <v>3</v>
      </c>
      <c r="B6" s="69" t="s">
        <v>3</v>
      </c>
      <c r="C6" s="4">
        <f>(58+201+129)/2061</f>
        <v>0.18825812712275594</v>
      </c>
      <c r="D6" s="67">
        <v>3</v>
      </c>
      <c r="E6" s="27">
        <f>7-(((19+58+38)*1)+((37+89+65)*2)+((38+122+80)*3)+((29+84+68)*4)+((16+63+59)*5)+((4+14+17)*6))/(143+430+327)</f>
        <v>3.8433333333333333</v>
      </c>
      <c r="F6" s="68">
        <v>1</v>
      </c>
      <c r="G6" s="9"/>
      <c r="H6" s="4">
        <v>0.1686</v>
      </c>
      <c r="I6" s="10">
        <f>7-3.29</f>
        <v>3.71</v>
      </c>
      <c r="J6" s="22"/>
      <c r="K6" s="12">
        <v>0.20119999999999999</v>
      </c>
      <c r="L6" s="70">
        <f>7-3.11</f>
        <v>3.89</v>
      </c>
      <c r="M6" s="22"/>
      <c r="N6" s="4">
        <v>0.1953</v>
      </c>
      <c r="O6" s="13">
        <f>7-2.99</f>
        <v>4.01</v>
      </c>
    </row>
    <row r="7" spans="1:15" x14ac:dyDescent="0.3">
      <c r="A7" s="66">
        <v>4</v>
      </c>
      <c r="B7" s="69" t="s">
        <v>15</v>
      </c>
      <c r="C7" s="12">
        <f>(74+207+187)/2061</f>
        <v>0.22707423580786026</v>
      </c>
      <c r="D7" s="67">
        <v>1</v>
      </c>
      <c r="E7" s="27">
        <f>7-(((46+103+45)*1)+((32+85+63)*2)+((17+63+59)*3)+((29+75+44)*4)+((11+64+72)*5)+((8+40+44)*6))/(143+430+327)</f>
        <v>3.8333333333333335</v>
      </c>
      <c r="F7" s="68">
        <v>2</v>
      </c>
      <c r="G7" s="9"/>
      <c r="H7" s="12">
        <v>0.24440000000000001</v>
      </c>
      <c r="I7" s="13">
        <f>7-2.59</f>
        <v>4.41</v>
      </c>
      <c r="J7" s="21"/>
      <c r="K7" s="12">
        <v>0.2072</v>
      </c>
      <c r="L7" s="70">
        <f>7-3.07</f>
        <v>3.93</v>
      </c>
      <c r="M7" s="22"/>
      <c r="N7" s="12">
        <v>0.2492</v>
      </c>
      <c r="O7" s="13">
        <f>7-2.66</f>
        <v>4.34</v>
      </c>
    </row>
    <row r="8" spans="1:15" x14ac:dyDescent="0.3">
      <c r="A8">
        <v>5</v>
      </c>
      <c r="B8" t="s">
        <v>4</v>
      </c>
      <c r="C8" s="5">
        <f>(28+132+114)/2061</f>
        <v>0.13294517224648228</v>
      </c>
      <c r="D8" s="25">
        <v>5</v>
      </c>
      <c r="E8" s="27">
        <f>7-(((8+66+45)*1)+((20+78+63)*2)+((18+60+59)*3)+((26+83+44)*4)+((49+87+72)*5)+((22+57+44)*6))/(143+431+327)</f>
        <v>3.4017758046614874</v>
      </c>
      <c r="F8" s="19">
        <v>5</v>
      </c>
      <c r="G8" s="9"/>
      <c r="H8" s="5">
        <v>0.14899999999999999</v>
      </c>
      <c r="I8" s="10">
        <f>7-3.51</f>
        <v>3.49</v>
      </c>
      <c r="J8" s="22"/>
      <c r="K8" s="5">
        <v>0.1321</v>
      </c>
      <c r="L8" s="10">
        <f>7-3.51</f>
        <v>3.49</v>
      </c>
      <c r="M8" s="22"/>
      <c r="N8" s="5">
        <v>9.4299999999999995E-2</v>
      </c>
      <c r="O8" s="6">
        <f>7-4.08</f>
        <v>2.92</v>
      </c>
    </row>
    <row r="9" spans="1:15" x14ac:dyDescent="0.3">
      <c r="A9" s="66">
        <v>6</v>
      </c>
      <c r="B9" s="69" t="s">
        <v>5</v>
      </c>
      <c r="C9" s="4">
        <f>(36+205+156)/2061</f>
        <v>0.19262493934983019</v>
      </c>
      <c r="D9" s="67">
        <v>2</v>
      </c>
      <c r="E9" s="27">
        <f>7-(((22+120+76)*1)+((14+64+49)*2)+((23+53+47)*3)+((14+57+54)*4)+((20+51+34)*5)+((50+86+67)*6))/(143+431+327)</f>
        <v>3.5771365149833518</v>
      </c>
      <c r="F9" s="68">
        <v>3</v>
      </c>
      <c r="G9" s="9"/>
      <c r="H9" s="12">
        <v>0.2039</v>
      </c>
      <c r="I9" s="10">
        <f>7-3.37</f>
        <v>3.63</v>
      </c>
      <c r="J9" s="22"/>
      <c r="K9" s="12">
        <v>0.20519999999999999</v>
      </c>
      <c r="L9" s="70">
        <f>7-3.26</f>
        <v>3.74</v>
      </c>
      <c r="M9" s="22"/>
      <c r="N9" s="5">
        <v>0.1212</v>
      </c>
      <c r="O9" s="6">
        <f>7-4.02</f>
        <v>2.9800000000000004</v>
      </c>
    </row>
    <row r="10" spans="1:15" x14ac:dyDescent="0.3">
      <c r="E10" s="20"/>
      <c r="F10" s="20"/>
    </row>
    <row r="11" spans="1:15" x14ac:dyDescent="0.3">
      <c r="K11" s="59" t="s">
        <v>11</v>
      </c>
      <c r="L11" s="59"/>
    </row>
    <row r="12" spans="1:15" x14ac:dyDescent="0.3">
      <c r="B12" t="s">
        <v>59</v>
      </c>
      <c r="K12" s="14" t="s">
        <v>10</v>
      </c>
      <c r="L12" s="14" t="s">
        <v>20</v>
      </c>
    </row>
    <row r="13" spans="1:15" x14ac:dyDescent="0.3">
      <c r="B13" t="s">
        <v>53</v>
      </c>
      <c r="K13" s="7" t="s">
        <v>8</v>
      </c>
      <c r="L13" s="8" t="s">
        <v>19</v>
      </c>
      <c r="M13" s="24"/>
    </row>
    <row r="14" spans="1:15" ht="15" thickBot="1" x14ac:dyDescent="0.35">
      <c r="B14" t="s">
        <v>55</v>
      </c>
      <c r="K14" s="6" t="s">
        <v>9</v>
      </c>
      <c r="L14" s="6" t="s">
        <v>18</v>
      </c>
    </row>
    <row r="15" spans="1:15" ht="15" thickBot="1" x14ac:dyDescent="0.35">
      <c r="B15" t="s">
        <v>54</v>
      </c>
      <c r="K15" s="55" t="s">
        <v>37</v>
      </c>
      <c r="L15" s="56"/>
    </row>
    <row r="16" spans="1:15" x14ac:dyDescent="0.3">
      <c r="B16" t="s">
        <v>56</v>
      </c>
    </row>
    <row r="17" spans="2:2" x14ac:dyDescent="0.3">
      <c r="B17" t="s">
        <v>57</v>
      </c>
    </row>
    <row r="18" spans="2:2" x14ac:dyDescent="0.3">
      <c r="B18" t="s">
        <v>58</v>
      </c>
    </row>
  </sheetData>
  <mergeCells count="10">
    <mergeCell ref="C1:F1"/>
    <mergeCell ref="H2:I2"/>
    <mergeCell ref="C2:F2"/>
    <mergeCell ref="K2:L2"/>
    <mergeCell ref="N2:O2"/>
    <mergeCell ref="K15:L15"/>
    <mergeCell ref="K1:L1"/>
    <mergeCell ref="N1:O1"/>
    <mergeCell ref="K11:L11"/>
    <mergeCell ref="H1:I1"/>
  </mergeCell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91E60-6D58-4005-9FDB-73F73CCDC3F0}">
  <dimension ref="A1"/>
  <sheetViews>
    <sheetView topLeftCell="A93" workbookViewId="0">
      <selection activeCell="G12" sqref="G12"/>
    </sheetView>
  </sheetViews>
  <sheetFormatPr defaultRowHeight="14.4" x14ac:dyDescent="0.3"/>
  <sheetData>
    <row r="1" spans="1:1" x14ac:dyDescent="0.3">
      <c r="A1" t="s">
        <v>12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1EE6E-69E6-4414-8A4C-FC55EA84C4BB}">
  <dimension ref="A1:O16"/>
  <sheetViews>
    <sheetView zoomScale="80" zoomScaleNormal="80" workbookViewId="0">
      <selection activeCell="I13" sqref="I13"/>
    </sheetView>
  </sheetViews>
  <sheetFormatPr defaultRowHeight="14.4" x14ac:dyDescent="0.3"/>
  <cols>
    <col min="1" max="1" width="2" bestFit="1" customWidth="1"/>
    <col min="2" max="2" width="80.5546875" customWidth="1"/>
    <col min="3" max="3" width="16.77734375" customWidth="1"/>
    <col min="4" max="4" width="10.77734375" customWidth="1"/>
    <col min="5" max="5" width="16.77734375" customWidth="1"/>
    <col min="6" max="6" width="10.77734375" customWidth="1"/>
    <col min="7" max="7" width="8.88671875" customWidth="1"/>
    <col min="8" max="9" width="16.77734375" style="9" customWidth="1"/>
    <col min="10" max="10" width="5.77734375" style="23" customWidth="1"/>
    <col min="11" max="12" width="16.77734375" style="9" customWidth="1"/>
    <col min="13" max="13" width="5.77734375" style="23" customWidth="1"/>
    <col min="14" max="15" width="16.77734375" style="9" customWidth="1"/>
  </cols>
  <sheetData>
    <row r="1" spans="1:15" x14ac:dyDescent="0.3">
      <c r="C1" s="61" t="s">
        <v>38</v>
      </c>
      <c r="D1" s="61"/>
      <c r="E1" s="61"/>
      <c r="F1" s="61"/>
      <c r="H1" s="60" t="s">
        <v>22</v>
      </c>
      <c r="I1" s="60"/>
      <c r="J1" s="21"/>
      <c r="K1" s="57" t="s">
        <v>26</v>
      </c>
      <c r="L1" s="57"/>
      <c r="M1" s="21"/>
      <c r="N1" s="58" t="s">
        <v>28</v>
      </c>
      <c r="O1" s="58"/>
    </row>
    <row r="2" spans="1:15" x14ac:dyDescent="0.3">
      <c r="C2" s="63" t="s">
        <v>36</v>
      </c>
      <c r="D2" s="63"/>
      <c r="E2" s="63"/>
      <c r="F2" s="63"/>
      <c r="H2" s="62" t="s">
        <v>34</v>
      </c>
      <c r="I2" s="62"/>
      <c r="J2" s="22"/>
      <c r="K2" s="64" t="s">
        <v>34</v>
      </c>
      <c r="L2" s="64"/>
      <c r="M2" s="22"/>
      <c r="N2" s="65" t="s">
        <v>35</v>
      </c>
      <c r="O2" s="65"/>
    </row>
    <row r="3" spans="1:15" ht="30" customHeight="1" x14ac:dyDescent="0.3">
      <c r="A3" s="1" t="s">
        <v>0</v>
      </c>
      <c r="B3" s="1" t="s">
        <v>6</v>
      </c>
      <c r="C3" s="29" t="s">
        <v>29</v>
      </c>
      <c r="D3" s="29" t="s">
        <v>16</v>
      </c>
      <c r="E3" s="29" t="s">
        <v>17</v>
      </c>
      <c r="F3" s="29" t="s">
        <v>21</v>
      </c>
      <c r="G3" s="1"/>
      <c r="H3" s="29" t="s">
        <v>7</v>
      </c>
      <c r="I3" s="29" t="s">
        <v>17</v>
      </c>
      <c r="J3" s="30"/>
      <c r="K3" s="29" t="s">
        <v>7</v>
      </c>
      <c r="L3" s="29" t="s">
        <v>17</v>
      </c>
      <c r="M3" s="30"/>
      <c r="N3" s="29" t="s">
        <v>7</v>
      </c>
      <c r="O3" s="29" t="s">
        <v>17</v>
      </c>
    </row>
    <row r="4" spans="1:15" ht="15" thickBot="1" x14ac:dyDescent="0.35">
      <c r="A4">
        <v>1</v>
      </c>
      <c r="B4" t="s">
        <v>1</v>
      </c>
      <c r="C4" s="5">
        <f>(5+11+10)/327</f>
        <v>7.9510703363914373E-2</v>
      </c>
      <c r="D4" s="25">
        <v>6</v>
      </c>
      <c r="E4" s="28">
        <f>7-(((1+3+2)*1)+((3+4+7)*2)+((3+10+7)*3)+((4+7+9)*4)+((3+11+11)*5)+((12+33+25)*6))/(26+68+61)</f>
        <v>2.3612903225806452</v>
      </c>
      <c r="F4" s="25">
        <v>6</v>
      </c>
      <c r="G4" s="35"/>
      <c r="H4" s="5">
        <v>0.1087</v>
      </c>
      <c r="I4" s="11">
        <f>7-4.58</f>
        <v>2.42</v>
      </c>
      <c r="J4" s="22"/>
      <c r="K4" s="5">
        <v>7.0999999999999994E-2</v>
      </c>
      <c r="L4" s="17">
        <f>7-4.74</f>
        <v>2.2599999999999998</v>
      </c>
      <c r="M4" s="31"/>
      <c r="N4" s="37">
        <v>7.9399999999999998E-2</v>
      </c>
      <c r="O4" s="11">
        <f>7-4.56</f>
        <v>2.4400000000000004</v>
      </c>
    </row>
    <row r="5" spans="1:15" ht="15" thickBot="1" x14ac:dyDescent="0.35">
      <c r="A5">
        <v>2</v>
      </c>
      <c r="B5" t="s">
        <v>2</v>
      </c>
      <c r="C5" s="43">
        <f>(11+31+24)/327</f>
        <v>0.20183486238532111</v>
      </c>
      <c r="D5" s="49">
        <v>2</v>
      </c>
      <c r="E5" s="27">
        <f>7-(((9+6+10)*1)+((2+17+10)*2)+((3+9+9)*3)+((3+14+9)*4)+((5+16+15)*5)+((4+6+8)*6))/(26+68+61)</f>
        <v>3.5290322580645159</v>
      </c>
      <c r="F5" s="25">
        <v>4</v>
      </c>
      <c r="G5" s="35"/>
      <c r="H5" s="46">
        <v>0.23910000000000001</v>
      </c>
      <c r="I5" s="48">
        <f>7-3.19</f>
        <v>3.81</v>
      </c>
      <c r="J5" s="22"/>
      <c r="K5" s="46">
        <v>0.2</v>
      </c>
      <c r="L5" s="38">
        <f>7-3.51</f>
        <v>3.49</v>
      </c>
      <c r="M5" s="22"/>
      <c r="N5" s="54">
        <v>0.1905</v>
      </c>
      <c r="O5" s="10">
        <f>7-3.54</f>
        <v>3.46</v>
      </c>
    </row>
    <row r="6" spans="1:15" ht="15" thickBot="1" x14ac:dyDescent="0.35">
      <c r="A6">
        <v>3</v>
      </c>
      <c r="B6" t="s">
        <v>3</v>
      </c>
      <c r="C6" s="16">
        <f>(8+30+16)/327</f>
        <v>0.16513761467889909</v>
      </c>
      <c r="D6" s="26">
        <v>4</v>
      </c>
      <c r="E6" s="38">
        <f>7-(((0+9+3)*1)+((7+12+15)*2)+((9+15+16)*3)+((5+20+15)*4)+((4+9+9)*5)+((1+3+3)*6))/(26+68+61)</f>
        <v>3.6967741935483871</v>
      </c>
      <c r="F6" s="45">
        <v>3</v>
      </c>
      <c r="G6" s="36"/>
      <c r="H6" s="16">
        <v>0.1739</v>
      </c>
      <c r="I6" s="10">
        <f>7-3.35</f>
        <v>3.65</v>
      </c>
      <c r="J6" s="22"/>
      <c r="K6" s="16">
        <v>0.19350000000000001</v>
      </c>
      <c r="L6" s="38">
        <f>7-3.25</f>
        <v>3.75</v>
      </c>
      <c r="M6" s="22"/>
      <c r="N6" s="47">
        <v>0.127</v>
      </c>
      <c r="O6" s="52">
        <f>7-3.34</f>
        <v>3.66</v>
      </c>
    </row>
    <row r="7" spans="1:15" ht="15" thickBot="1" x14ac:dyDescent="0.35">
      <c r="A7">
        <v>4</v>
      </c>
      <c r="B7" t="s">
        <v>15</v>
      </c>
      <c r="C7" s="12">
        <f>(11+35+33)/327</f>
        <v>0.24159021406727829</v>
      </c>
      <c r="D7" s="26">
        <v>1</v>
      </c>
      <c r="E7" s="44">
        <f>7-(((10+21+26)*1)+((5+9+7)*2)+((3+9+11)*3)+((3+9+11)*4)+((4+14+3)*5)+((1+6+3)*6))/(26+68+61)</f>
        <v>4.258064516129032</v>
      </c>
      <c r="F7" s="26">
        <v>1</v>
      </c>
      <c r="G7" s="36"/>
      <c r="H7" s="12">
        <v>0.23910000000000001</v>
      </c>
      <c r="I7" s="15">
        <f>7-2.58</f>
        <v>4.42</v>
      </c>
      <c r="J7" s="22"/>
      <c r="K7" s="12">
        <v>0.2258</v>
      </c>
      <c r="L7" s="38">
        <f>7-3.06</f>
        <v>3.94</v>
      </c>
      <c r="M7" s="22"/>
      <c r="N7" s="12">
        <v>0.26190000000000002</v>
      </c>
      <c r="O7" s="53">
        <f>7-2.46</f>
        <v>4.54</v>
      </c>
    </row>
    <row r="8" spans="1:15" ht="15" thickBot="1" x14ac:dyDescent="0.35">
      <c r="A8">
        <v>5</v>
      </c>
      <c r="B8" t="s">
        <v>4</v>
      </c>
      <c r="C8" s="37">
        <f>(6+14+19)/327</f>
        <v>0.11926605504587157</v>
      </c>
      <c r="D8" s="26">
        <v>5</v>
      </c>
      <c r="E8" s="38">
        <f>7-(((1+6+10)*1)+((5+17+11)*2)+((5+13+11)*3)+((6+7+5)*4)+((6+12+17)*5)+((3+13+7)*6))/(26+68+61)</f>
        <v>3.4193548387096775</v>
      </c>
      <c r="F8" s="26">
        <v>5</v>
      </c>
      <c r="G8" s="36"/>
      <c r="H8" s="37">
        <v>0.13039999999999999</v>
      </c>
      <c r="I8" s="10">
        <f>7-3.77</f>
        <v>3.23</v>
      </c>
      <c r="J8" s="22"/>
      <c r="K8" s="47">
        <v>9.0300000000000005E-2</v>
      </c>
      <c r="L8" s="38">
        <f>7-3.6</f>
        <v>3.4</v>
      </c>
      <c r="M8" s="22"/>
      <c r="N8" s="54">
        <v>0.15079999999999999</v>
      </c>
      <c r="O8" s="48">
        <f>7-3.48</f>
        <v>3.52</v>
      </c>
    </row>
    <row r="9" spans="1:15" ht="15" thickBot="1" x14ac:dyDescent="0.35">
      <c r="A9">
        <v>6</v>
      </c>
      <c r="B9" t="s">
        <v>5</v>
      </c>
      <c r="C9" s="16">
        <f>(5+34+24)/327</f>
        <v>0.19266055045871561</v>
      </c>
      <c r="D9" s="26">
        <v>3</v>
      </c>
      <c r="E9" s="38">
        <f>7-(((5+23+10)*1)+((4+9+11)*2)+((3+12+7)*3)+((5+11+12)*4)+((4+6+6)*5)+((5+7+15)*6))/(26+68+61)</f>
        <v>3.7354838709677418</v>
      </c>
      <c r="F9" s="26">
        <v>2</v>
      </c>
      <c r="G9" s="36"/>
      <c r="H9" s="47">
        <v>0.1087</v>
      </c>
      <c r="I9" s="10">
        <f>7-3.54</f>
        <v>3.46</v>
      </c>
      <c r="J9" s="22"/>
      <c r="K9" s="12">
        <v>0.21940000000000001</v>
      </c>
      <c r="L9" s="50">
        <f>7-2.84</f>
        <v>4.16</v>
      </c>
      <c r="M9" s="22"/>
      <c r="N9" s="54">
        <v>0.1905</v>
      </c>
      <c r="O9" s="10">
        <f>7-3.62</f>
        <v>3.38</v>
      </c>
    </row>
    <row r="11" spans="1:15" x14ac:dyDescent="0.3">
      <c r="E11" s="33"/>
      <c r="F11" s="25"/>
      <c r="K11" s="59" t="s">
        <v>11</v>
      </c>
      <c r="L11" s="59"/>
    </row>
    <row r="12" spans="1:15" x14ac:dyDescent="0.3">
      <c r="E12" s="33"/>
      <c r="F12" s="25"/>
      <c r="K12" s="14" t="s">
        <v>10</v>
      </c>
      <c r="L12" s="14" t="s">
        <v>20</v>
      </c>
    </row>
    <row r="13" spans="1:15" x14ac:dyDescent="0.3">
      <c r="E13" s="33"/>
      <c r="F13" s="25"/>
      <c r="K13" s="7" t="s">
        <v>8</v>
      </c>
      <c r="L13" s="8" t="s">
        <v>19</v>
      </c>
      <c r="M13" s="24"/>
    </row>
    <row r="14" spans="1:15" ht="15" thickBot="1" x14ac:dyDescent="0.35">
      <c r="E14" s="34"/>
      <c r="F14" s="25"/>
      <c r="K14" s="6" t="s">
        <v>9</v>
      </c>
      <c r="L14" s="6" t="s">
        <v>18</v>
      </c>
    </row>
    <row r="15" spans="1:15" ht="15" thickBot="1" x14ac:dyDescent="0.35">
      <c r="E15" s="33"/>
      <c r="F15" s="25"/>
      <c r="K15" s="55" t="s">
        <v>37</v>
      </c>
      <c r="L15" s="56"/>
    </row>
    <row r="16" spans="1:15" x14ac:dyDescent="0.3">
      <c r="E16" s="33"/>
      <c r="F16" s="25"/>
    </row>
  </sheetData>
  <mergeCells count="10">
    <mergeCell ref="N1:O1"/>
    <mergeCell ref="C2:F2"/>
    <mergeCell ref="H2:I2"/>
    <mergeCell ref="K2:L2"/>
    <mergeCell ref="N2:O2"/>
    <mergeCell ref="K15:L15"/>
    <mergeCell ref="K11:L11"/>
    <mergeCell ref="C1:F1"/>
    <mergeCell ref="H1:I1"/>
    <mergeCell ref="K1:L1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DD14F-962D-4C57-B76F-C3B0D415129C}">
  <dimension ref="A1:T114"/>
  <sheetViews>
    <sheetView topLeftCell="B97" workbookViewId="0">
      <selection activeCell="I13" sqref="I13"/>
    </sheetView>
  </sheetViews>
  <sheetFormatPr defaultRowHeight="14.4" x14ac:dyDescent="0.3"/>
  <cols>
    <col min="1" max="1" width="0" style="35" hidden="1" customWidth="1"/>
    <col min="2" max="13" width="8.88671875" style="35"/>
  </cols>
  <sheetData>
    <row r="1" spans="1:2" x14ac:dyDescent="0.3">
      <c r="A1" s="35" t="s">
        <v>39</v>
      </c>
      <c r="B1" s="35" t="s">
        <v>40</v>
      </c>
    </row>
    <row r="24" ht="13.8" customHeight="1" x14ac:dyDescent="0.3"/>
    <row r="39" spans="15:17" ht="15" thickBot="1" x14ac:dyDescent="0.35"/>
    <row r="40" spans="15:17" ht="15" thickBot="1" x14ac:dyDescent="0.35">
      <c r="O40" s="39" t="s">
        <v>41</v>
      </c>
      <c r="P40" s="40"/>
      <c r="Q40" s="41"/>
    </row>
    <row r="69" spans="16:20" ht="15" thickBot="1" x14ac:dyDescent="0.35"/>
    <row r="70" spans="16:20" ht="15" thickBot="1" x14ac:dyDescent="0.35">
      <c r="P70" s="39" t="s">
        <v>42</v>
      </c>
      <c r="Q70" s="40"/>
      <c r="R70" s="40"/>
      <c r="S70" s="40"/>
      <c r="T70" s="41"/>
    </row>
    <row r="92" spans="16:18" x14ac:dyDescent="0.3">
      <c r="P92" t="s">
        <v>44</v>
      </c>
    </row>
    <row r="95" spans="16:18" ht="15" thickBot="1" x14ac:dyDescent="0.35"/>
    <row r="96" spans="16:18" ht="15" thickBot="1" x14ac:dyDescent="0.35">
      <c r="P96" s="39" t="s">
        <v>43</v>
      </c>
      <c r="Q96" s="40"/>
      <c r="R96" s="41"/>
    </row>
    <row r="114" spans="16:16" x14ac:dyDescent="0.3">
      <c r="P114" t="s">
        <v>46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08105-D166-47D7-AD81-7CE738F1A83B}">
  <dimension ref="A1:O16"/>
  <sheetViews>
    <sheetView zoomScale="80" zoomScaleNormal="80" workbookViewId="0">
      <selection activeCell="A7" sqref="A7:F7"/>
    </sheetView>
  </sheetViews>
  <sheetFormatPr defaultRowHeight="14.4" x14ac:dyDescent="0.3"/>
  <cols>
    <col min="1" max="1" width="2" bestFit="1" customWidth="1"/>
    <col min="2" max="2" width="80.5546875" customWidth="1"/>
    <col min="3" max="3" width="16.77734375" customWidth="1"/>
    <col min="4" max="4" width="10.77734375" customWidth="1"/>
    <col min="5" max="5" width="16.77734375" customWidth="1"/>
    <col min="6" max="6" width="10.77734375" customWidth="1"/>
    <col min="7" max="7" width="8.88671875" customWidth="1"/>
    <col min="8" max="9" width="16.77734375" style="18" customWidth="1"/>
    <col min="10" max="10" width="5.77734375" style="23" customWidth="1"/>
    <col min="11" max="12" width="16.77734375" style="18" customWidth="1"/>
    <col min="13" max="13" width="5.77734375" style="23" customWidth="1"/>
    <col min="14" max="15" width="16.77734375" style="18" customWidth="1"/>
  </cols>
  <sheetData>
    <row r="1" spans="1:15" x14ac:dyDescent="0.3">
      <c r="C1" s="61" t="s">
        <v>38</v>
      </c>
      <c r="D1" s="61"/>
      <c r="E1" s="61"/>
      <c r="F1" s="61"/>
      <c r="H1" s="60" t="s">
        <v>22</v>
      </c>
      <c r="I1" s="60"/>
      <c r="J1" s="21"/>
      <c r="K1" s="57" t="s">
        <v>26</v>
      </c>
      <c r="L1" s="57"/>
      <c r="M1" s="21"/>
      <c r="N1" s="58" t="s">
        <v>28</v>
      </c>
      <c r="O1" s="58"/>
    </row>
    <row r="2" spans="1:15" x14ac:dyDescent="0.3">
      <c r="C2" s="63" t="s">
        <v>51</v>
      </c>
      <c r="D2" s="63"/>
      <c r="E2" s="63"/>
      <c r="F2" s="63"/>
      <c r="H2" s="62" t="s">
        <v>48</v>
      </c>
      <c r="I2" s="62"/>
      <c r="J2" s="22"/>
      <c r="K2" s="64" t="s">
        <v>49</v>
      </c>
      <c r="L2" s="64"/>
      <c r="M2" s="22"/>
      <c r="N2" s="65" t="s">
        <v>50</v>
      </c>
      <c r="O2" s="65"/>
    </row>
    <row r="3" spans="1:15" ht="30" customHeight="1" x14ac:dyDescent="0.3">
      <c r="A3" s="1" t="s">
        <v>0</v>
      </c>
      <c r="B3" s="1" t="s">
        <v>6</v>
      </c>
      <c r="C3" s="29" t="s">
        <v>29</v>
      </c>
      <c r="D3" s="29" t="s">
        <v>16</v>
      </c>
      <c r="E3" s="29" t="s">
        <v>17</v>
      </c>
      <c r="F3" s="29" t="s">
        <v>21</v>
      </c>
      <c r="G3" s="1"/>
      <c r="H3" s="29" t="s">
        <v>7</v>
      </c>
      <c r="I3" s="29" t="s">
        <v>17</v>
      </c>
      <c r="J3" s="30"/>
      <c r="K3" s="29" t="s">
        <v>7</v>
      </c>
      <c r="L3" s="29" t="s">
        <v>17</v>
      </c>
      <c r="M3" s="30"/>
      <c r="N3" s="29" t="s">
        <v>7</v>
      </c>
      <c r="O3" s="29" t="s">
        <v>17</v>
      </c>
    </row>
    <row r="4" spans="1:15" x14ac:dyDescent="0.3">
      <c r="A4">
        <v>1</v>
      </c>
      <c r="B4" t="s">
        <v>1</v>
      </c>
      <c r="C4" s="5">
        <f>(15+50+40)/1228</f>
        <v>8.5504885993485338E-2</v>
      </c>
      <c r="D4" s="25">
        <v>6</v>
      </c>
      <c r="E4" s="28">
        <f>7-(((6+17+5)*1)+((9+18+19)*2)+((10+40+31)*3)+((11+33+34)*4)+((10+45+33)*5)+((28+132+90)*6))/(74+285+212)</f>
        <v>2.4203152364273208</v>
      </c>
      <c r="F4" s="25">
        <v>6</v>
      </c>
      <c r="G4" s="35"/>
      <c r="H4" s="37">
        <v>8.3500000000000005E-2</v>
      </c>
      <c r="I4" s="11">
        <f>7-4.61</f>
        <v>2.3899999999999997</v>
      </c>
      <c r="J4" s="22"/>
      <c r="K4" s="37">
        <v>8.1299999999999997E-2</v>
      </c>
      <c r="L4" s="17">
        <f>7-4.64</f>
        <v>2.3600000000000003</v>
      </c>
      <c r="M4" s="31"/>
      <c r="N4" s="37">
        <v>0.1119</v>
      </c>
      <c r="O4" s="11">
        <f>7-4.27</f>
        <v>2.7300000000000004</v>
      </c>
    </row>
    <row r="5" spans="1:15" x14ac:dyDescent="0.3">
      <c r="A5">
        <v>2</v>
      </c>
      <c r="B5" t="s">
        <v>2</v>
      </c>
      <c r="C5" s="16">
        <f>(33+103+77)/1228</f>
        <v>0.17345276872964169</v>
      </c>
      <c r="D5" s="26">
        <v>4</v>
      </c>
      <c r="E5" s="38">
        <f>7-(((21+34+32)*1)+((6+53+27)*2)+((11+45+28)*3)+((11+50+39)*4)+((16+72+55)*5)+((9+31+31)*6))/(74+285+212)</f>
        <v>3.4063047285464099</v>
      </c>
      <c r="F5" s="25">
        <v>5</v>
      </c>
      <c r="G5" s="35"/>
      <c r="H5" s="16">
        <v>0.1608</v>
      </c>
      <c r="I5" s="10">
        <f>7-3.71</f>
        <v>3.29</v>
      </c>
      <c r="J5" s="22"/>
      <c r="K5" s="16">
        <v>0.16750000000000001</v>
      </c>
      <c r="L5" s="38">
        <f>7-3.58</f>
        <v>3.42</v>
      </c>
      <c r="M5" s="22"/>
      <c r="N5" s="12">
        <v>0.24629999999999999</v>
      </c>
      <c r="O5" s="38">
        <f>7-3.3</f>
        <v>3.7</v>
      </c>
    </row>
    <row r="6" spans="1:15" ht="15" thickBot="1" x14ac:dyDescent="0.35">
      <c r="A6">
        <v>3</v>
      </c>
      <c r="B6" t="s">
        <v>3</v>
      </c>
      <c r="C6" s="16">
        <f>(27+127+78)/1228</f>
        <v>0.18892508143322476</v>
      </c>
      <c r="D6" s="26">
        <v>2</v>
      </c>
      <c r="E6" s="38">
        <f>7-(((9+41+21)*1)+((18+52+42)*2)+((17+77+54)*3)+((20+64+46)*4)+((7+39+39)*5)+((3+12+10)*6))/(74+285+212)</f>
        <v>3.7880910683012261</v>
      </c>
      <c r="F6" s="26">
        <v>2</v>
      </c>
      <c r="G6" s="36"/>
      <c r="H6" s="16">
        <v>0.1628</v>
      </c>
      <c r="I6" s="10">
        <f>7-3.33</f>
        <v>3.67</v>
      </c>
      <c r="J6" s="22"/>
      <c r="K6" s="12">
        <v>0.20649999999999999</v>
      </c>
      <c r="L6" s="38">
        <f>7-3.15</f>
        <v>3.85</v>
      </c>
      <c r="M6" s="22"/>
      <c r="N6" s="12">
        <v>0.20150000000000001</v>
      </c>
      <c r="O6" s="10">
        <f>7-3.09</f>
        <v>3.91</v>
      </c>
    </row>
    <row r="7" spans="1:15" ht="15" thickBot="1" x14ac:dyDescent="0.35">
      <c r="A7">
        <v>4</v>
      </c>
      <c r="B7" t="s">
        <v>15</v>
      </c>
      <c r="C7" s="12">
        <f>(34+139+119)/1228</f>
        <v>0.23778501628664495</v>
      </c>
      <c r="D7" s="26">
        <v>1</v>
      </c>
      <c r="E7" s="44">
        <f>7-(((22+79+78)*1)+((17+59+48)*2)+((12+40+30)*3)+((13+46+28)*4)+((8+47+19)*5)+((2+24+9)*6))/(74+285+212)</f>
        <v>4.196147110332749</v>
      </c>
      <c r="F7" s="26">
        <v>1</v>
      </c>
      <c r="G7" s="36"/>
      <c r="H7" s="12">
        <v>0.24840000000000001</v>
      </c>
      <c r="I7" s="15">
        <f>7-2.48</f>
        <v>4.5199999999999996</v>
      </c>
      <c r="J7" s="22"/>
      <c r="K7" s="12">
        <v>0.22600000000000001</v>
      </c>
      <c r="L7" s="32">
        <f>7-2.91</f>
        <v>4.09</v>
      </c>
      <c r="M7" s="22"/>
      <c r="N7" s="12">
        <v>0.25369999999999998</v>
      </c>
      <c r="O7" s="15">
        <f>7-2.65</f>
        <v>4.3499999999999996</v>
      </c>
    </row>
    <row r="8" spans="1:15" ht="15" thickBot="1" x14ac:dyDescent="0.35">
      <c r="A8">
        <v>5</v>
      </c>
      <c r="B8" t="s">
        <v>4</v>
      </c>
      <c r="C8" s="37">
        <f>(14+74+73)/1228</f>
        <v>0.13110749185667753</v>
      </c>
      <c r="D8" s="26">
        <v>5</v>
      </c>
      <c r="E8" s="38">
        <f>7-(((3+40+29)*1)+((15+54+44)*2)+((12+41+38)*3)+((9+54+27)*4)+((24+57+45)*5)+((11+39+29)*6))/(74+285+212)</f>
        <v>3.4360770577933448</v>
      </c>
      <c r="F8" s="26">
        <v>4</v>
      </c>
      <c r="G8" s="36"/>
      <c r="H8" s="16">
        <v>0.15240000000000001</v>
      </c>
      <c r="I8" s="10">
        <f>7-3.48</f>
        <v>3.52</v>
      </c>
      <c r="J8" s="22"/>
      <c r="K8" s="37">
        <v>0.1203</v>
      </c>
      <c r="L8" s="38">
        <f>7-3.53</f>
        <v>3.47</v>
      </c>
      <c r="M8" s="22"/>
      <c r="N8" s="37">
        <v>0.1045</v>
      </c>
      <c r="O8" s="10">
        <f>7-3.93</f>
        <v>3.07</v>
      </c>
    </row>
    <row r="9" spans="1:15" ht="15" thickBot="1" x14ac:dyDescent="0.35">
      <c r="A9">
        <v>6</v>
      </c>
      <c r="B9" t="s">
        <v>5</v>
      </c>
      <c r="C9" s="16">
        <f>(11+122+92)/1228</f>
        <v>0.18322475570032573</v>
      </c>
      <c r="D9" s="26">
        <v>3</v>
      </c>
      <c r="E9" s="38">
        <f>7-(((13+74+47)*1)+((9+49+32)*2)+((12+42+31)*3)+((10+38+38)*4)+((9+35+21)*5)+((21+47+43)*6))/(74+285+212)</f>
        <v>3.6654991243432575</v>
      </c>
      <c r="F9" s="26">
        <v>3</v>
      </c>
      <c r="G9" s="36"/>
      <c r="H9" s="16">
        <v>0.19209999999999999</v>
      </c>
      <c r="I9" s="10">
        <f>7-3.39</f>
        <v>3.61</v>
      </c>
      <c r="J9" s="22"/>
      <c r="K9" s="16">
        <v>0.19839999999999999</v>
      </c>
      <c r="L9" s="10">
        <f>7-3.18</f>
        <v>3.82</v>
      </c>
      <c r="M9" s="22"/>
      <c r="N9" s="37">
        <v>8.2100000000000006E-2</v>
      </c>
      <c r="O9" s="48">
        <f>7-3.76</f>
        <v>3.24</v>
      </c>
    </row>
    <row r="11" spans="1:15" x14ac:dyDescent="0.3">
      <c r="E11" s="33"/>
      <c r="F11" s="25"/>
      <c r="K11" s="59" t="s">
        <v>11</v>
      </c>
      <c r="L11" s="59"/>
    </row>
    <row r="12" spans="1:15" x14ac:dyDescent="0.3">
      <c r="E12" s="33"/>
      <c r="F12" s="25"/>
      <c r="K12" s="14" t="s">
        <v>10</v>
      </c>
      <c r="L12" s="14" t="s">
        <v>20</v>
      </c>
    </row>
    <row r="13" spans="1:15" x14ac:dyDescent="0.3">
      <c r="E13" s="33"/>
      <c r="F13" s="25"/>
      <c r="K13" s="7" t="s">
        <v>8</v>
      </c>
      <c r="L13" s="8" t="s">
        <v>19</v>
      </c>
      <c r="M13" s="24"/>
    </row>
    <row r="14" spans="1:15" ht="15" thickBot="1" x14ac:dyDescent="0.35">
      <c r="E14" s="34"/>
      <c r="F14" s="25"/>
      <c r="K14" s="6" t="s">
        <v>9</v>
      </c>
      <c r="L14" s="6" t="s">
        <v>18</v>
      </c>
    </row>
    <row r="15" spans="1:15" ht="15" thickBot="1" x14ac:dyDescent="0.35">
      <c r="E15" s="33"/>
      <c r="F15" s="25"/>
      <c r="K15" s="55" t="s">
        <v>37</v>
      </c>
      <c r="L15" s="56"/>
    </row>
    <row r="16" spans="1:15" x14ac:dyDescent="0.3">
      <c r="E16" s="33"/>
      <c r="F16" s="25"/>
    </row>
  </sheetData>
  <mergeCells count="10">
    <mergeCell ref="N1:O1"/>
    <mergeCell ref="C2:F2"/>
    <mergeCell ref="H2:I2"/>
    <mergeCell ref="K2:L2"/>
    <mergeCell ref="N2:O2"/>
    <mergeCell ref="K11:L11"/>
    <mergeCell ref="K15:L15"/>
    <mergeCell ref="C1:F1"/>
    <mergeCell ref="H1:I1"/>
    <mergeCell ref="K1:L1"/>
  </mergeCells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2E3A6-D9C8-46D8-8E38-A9EEDB8D7F5B}">
  <dimension ref="A1:U100"/>
  <sheetViews>
    <sheetView topLeftCell="B73" workbookViewId="0">
      <selection activeCell="H6" sqref="H6"/>
    </sheetView>
  </sheetViews>
  <sheetFormatPr defaultRowHeight="14.4" x14ac:dyDescent="0.3"/>
  <cols>
    <col min="1" max="1" width="0" style="35" hidden="1" customWidth="1"/>
    <col min="2" max="13" width="8.88671875" style="35"/>
  </cols>
  <sheetData>
    <row r="1" spans="1:2" x14ac:dyDescent="0.3">
      <c r="A1" s="35" t="s">
        <v>39</v>
      </c>
      <c r="B1" s="35" t="s">
        <v>47</v>
      </c>
    </row>
    <row r="2" spans="1:2" x14ac:dyDescent="0.3">
      <c r="B2" s="35" t="s">
        <v>52</v>
      </c>
    </row>
    <row r="24" ht="13.8" customHeight="1" x14ac:dyDescent="0.3"/>
    <row r="39" spans="15:17" x14ac:dyDescent="0.3">
      <c r="O39" s="42"/>
      <c r="P39" s="42"/>
      <c r="Q39" s="42"/>
    </row>
    <row r="40" spans="15:17" x14ac:dyDescent="0.3">
      <c r="O40" s="42"/>
      <c r="P40" s="42"/>
      <c r="Q40" s="42"/>
    </row>
    <row r="41" spans="15:17" x14ac:dyDescent="0.3">
      <c r="O41" s="42"/>
      <c r="P41" s="42"/>
      <c r="Q41" s="42"/>
    </row>
    <row r="42" spans="15:17" x14ac:dyDescent="0.3">
      <c r="O42" s="42"/>
      <c r="P42" s="42"/>
      <c r="Q42" s="42"/>
    </row>
    <row r="69" spans="16:21" x14ac:dyDescent="0.3">
      <c r="P69" s="42"/>
      <c r="Q69" s="42"/>
      <c r="R69" s="42"/>
      <c r="S69" s="42"/>
      <c r="T69" s="42"/>
      <c r="U69" s="42"/>
    </row>
    <row r="70" spans="16:21" x14ac:dyDescent="0.3">
      <c r="P70" s="42"/>
      <c r="Q70" s="42"/>
      <c r="R70" s="42"/>
      <c r="S70" s="42"/>
      <c r="T70" s="42"/>
      <c r="U70" s="42"/>
    </row>
    <row r="71" spans="16:21" x14ac:dyDescent="0.3">
      <c r="P71" s="42"/>
      <c r="Q71" s="42"/>
      <c r="R71" s="42"/>
      <c r="S71" s="42"/>
      <c r="T71" s="42"/>
      <c r="U71" s="42"/>
    </row>
    <row r="72" spans="16:21" x14ac:dyDescent="0.3">
      <c r="P72" s="42"/>
      <c r="Q72" s="42"/>
      <c r="R72" s="42"/>
      <c r="S72" s="42"/>
      <c r="T72" s="42"/>
      <c r="U72" s="42"/>
    </row>
    <row r="88" spans="16:20" x14ac:dyDescent="0.3">
      <c r="P88" s="42"/>
      <c r="Q88" s="42"/>
      <c r="R88" s="42"/>
      <c r="S88" s="42"/>
      <c r="T88" s="42"/>
    </row>
    <row r="89" spans="16:20" x14ac:dyDescent="0.3">
      <c r="P89" s="42"/>
      <c r="Q89" s="42"/>
      <c r="R89" s="42"/>
      <c r="S89" s="42"/>
      <c r="T89" s="42"/>
    </row>
    <row r="90" spans="16:20" x14ac:dyDescent="0.3">
      <c r="P90" s="42"/>
      <c r="Q90" s="42"/>
      <c r="R90" s="42"/>
      <c r="S90" s="42"/>
      <c r="T90" s="42"/>
    </row>
    <row r="91" spans="16:20" x14ac:dyDescent="0.3">
      <c r="P91" s="42"/>
      <c r="Q91" s="42"/>
      <c r="R91" s="42"/>
      <c r="S91" s="42"/>
      <c r="T91" s="42"/>
    </row>
    <row r="92" spans="16:20" x14ac:dyDescent="0.3">
      <c r="P92" s="42"/>
      <c r="Q92" s="42"/>
      <c r="R92" s="42"/>
      <c r="S92" s="42"/>
      <c r="T92" s="42"/>
    </row>
    <row r="93" spans="16:20" x14ac:dyDescent="0.3">
      <c r="P93" s="42"/>
      <c r="Q93" s="42"/>
      <c r="R93" s="42"/>
      <c r="S93" s="42"/>
      <c r="T93" s="42"/>
    </row>
    <row r="94" spans="16:20" x14ac:dyDescent="0.3">
      <c r="P94" s="42"/>
      <c r="Q94" s="42"/>
      <c r="R94" s="42"/>
      <c r="S94" s="42"/>
      <c r="T94" s="42"/>
    </row>
    <row r="95" spans="16:20" x14ac:dyDescent="0.3">
      <c r="P95" s="42"/>
      <c r="Q95" s="42"/>
      <c r="R95" s="42"/>
      <c r="S95" s="42"/>
      <c r="T95" s="42"/>
    </row>
    <row r="96" spans="16:20" x14ac:dyDescent="0.3">
      <c r="P96" s="42"/>
      <c r="Q96" s="42"/>
      <c r="R96" s="42"/>
      <c r="S96" s="42"/>
      <c r="T96" s="42"/>
    </row>
    <row r="97" spans="16:20" x14ac:dyDescent="0.3">
      <c r="P97" s="42"/>
      <c r="Q97" s="42"/>
      <c r="R97" s="42"/>
      <c r="S97" s="42"/>
      <c r="T97" s="42"/>
    </row>
    <row r="98" spans="16:20" x14ac:dyDescent="0.3">
      <c r="P98" s="42"/>
      <c r="Q98" s="42"/>
      <c r="R98" s="42"/>
      <c r="S98" s="42"/>
      <c r="T98" s="42"/>
    </row>
    <row r="99" spans="16:20" x14ac:dyDescent="0.3">
      <c r="P99" s="42"/>
      <c r="Q99" s="42"/>
      <c r="R99" s="42"/>
      <c r="S99" s="42"/>
      <c r="T99" s="42"/>
    </row>
    <row r="100" spans="16:20" x14ac:dyDescent="0.3">
      <c r="P100" s="42"/>
      <c r="Q100" s="42"/>
      <c r="R100" s="42"/>
      <c r="S100" s="42"/>
      <c r="T100" s="42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C7721-33D8-4969-864E-314BBA544D81}">
  <dimension ref="A1:O16"/>
  <sheetViews>
    <sheetView zoomScale="80" zoomScaleNormal="80" workbookViewId="0">
      <selection activeCell="D13" sqref="D13"/>
    </sheetView>
  </sheetViews>
  <sheetFormatPr defaultRowHeight="14.4" x14ac:dyDescent="0.3"/>
  <cols>
    <col min="1" max="1" width="2" bestFit="1" customWidth="1"/>
    <col min="2" max="2" width="80.5546875" customWidth="1"/>
    <col min="3" max="3" width="16.77734375" customWidth="1"/>
    <col min="4" max="4" width="10.77734375" customWidth="1"/>
    <col min="5" max="5" width="16.77734375" customWidth="1"/>
    <col min="6" max="6" width="10.77734375" customWidth="1"/>
    <col min="7" max="7" width="8.88671875" customWidth="1"/>
    <col min="8" max="9" width="16.77734375" style="2" customWidth="1"/>
    <col min="10" max="10" width="5.77734375" style="23" customWidth="1"/>
    <col min="11" max="12" width="16.77734375" style="2" customWidth="1"/>
    <col min="13" max="13" width="5.77734375" style="23" customWidth="1"/>
    <col min="14" max="15" width="16.77734375" style="2" customWidth="1"/>
  </cols>
  <sheetData>
    <row r="1" spans="1:15" x14ac:dyDescent="0.3">
      <c r="C1" s="61" t="s">
        <v>38</v>
      </c>
      <c r="D1" s="61"/>
      <c r="E1" s="61"/>
      <c r="F1" s="61"/>
      <c r="H1" s="60" t="s">
        <v>22</v>
      </c>
      <c r="I1" s="60"/>
      <c r="J1" s="21"/>
      <c r="K1" s="57" t="s">
        <v>26</v>
      </c>
      <c r="L1" s="57"/>
      <c r="M1" s="21"/>
      <c r="N1" s="58" t="s">
        <v>28</v>
      </c>
      <c r="O1" s="58"/>
    </row>
    <row r="2" spans="1:15" x14ac:dyDescent="0.3">
      <c r="C2" s="63" t="s">
        <v>33</v>
      </c>
      <c r="D2" s="63"/>
      <c r="E2" s="63"/>
      <c r="F2" s="63"/>
      <c r="H2" s="62" t="s">
        <v>30</v>
      </c>
      <c r="I2" s="62"/>
      <c r="J2" s="22"/>
      <c r="K2" s="64" t="s">
        <v>31</v>
      </c>
      <c r="L2" s="64"/>
      <c r="M2" s="22"/>
      <c r="N2" s="65" t="s">
        <v>32</v>
      </c>
      <c r="O2" s="65"/>
    </row>
    <row r="3" spans="1:15" ht="30" customHeight="1" x14ac:dyDescent="0.3">
      <c r="A3" s="1" t="s">
        <v>0</v>
      </c>
      <c r="B3" s="1" t="s">
        <v>6</v>
      </c>
      <c r="C3" s="29" t="s">
        <v>29</v>
      </c>
      <c r="D3" s="29" t="s">
        <v>16</v>
      </c>
      <c r="E3" s="29" t="s">
        <v>17</v>
      </c>
      <c r="F3" s="29" t="s">
        <v>21</v>
      </c>
      <c r="G3" s="1"/>
      <c r="H3" s="29" t="s">
        <v>7</v>
      </c>
      <c r="I3" s="29" t="s">
        <v>17</v>
      </c>
      <c r="J3" s="30"/>
      <c r="K3" s="29" t="s">
        <v>7</v>
      </c>
      <c r="L3" s="29" t="s">
        <v>17</v>
      </c>
      <c r="M3" s="30"/>
      <c r="N3" s="29" t="s">
        <v>7</v>
      </c>
      <c r="O3" s="29" t="s">
        <v>17</v>
      </c>
    </row>
    <row r="4" spans="1:15" x14ac:dyDescent="0.3">
      <c r="A4">
        <v>1</v>
      </c>
      <c r="B4" t="s">
        <v>1</v>
      </c>
      <c r="C4" s="5">
        <f>(21+39+30)/1043</f>
        <v>8.6289549376797697E-2</v>
      </c>
      <c r="D4" s="25">
        <v>6</v>
      </c>
      <c r="E4" s="28">
        <f>7-(((6+18+9)*1)+((11+10+17)*2)+((14+32+31)*3)+((11+15+27)*4)+((12+37+21)*5)+((31+101+84)*6))/(85+223+189)</f>
        <v>2.577464788732394</v>
      </c>
      <c r="F4" s="19">
        <v>6</v>
      </c>
      <c r="H4" s="5">
        <v>7.7700000000000005E-2</v>
      </c>
      <c r="I4" s="11">
        <f>7-4.51</f>
        <v>2.4900000000000002</v>
      </c>
      <c r="J4" s="22"/>
      <c r="K4" s="5">
        <v>7.7399999999999997E-2</v>
      </c>
      <c r="L4" s="17">
        <f>7-4.6</f>
        <v>2.4000000000000004</v>
      </c>
      <c r="M4" s="31"/>
      <c r="N4" s="5">
        <v>0.13730000000000001</v>
      </c>
      <c r="O4" s="6">
        <f>7-4.24</f>
        <v>2.76</v>
      </c>
    </row>
    <row r="5" spans="1:15" x14ac:dyDescent="0.3">
      <c r="A5">
        <v>2</v>
      </c>
      <c r="B5" t="s">
        <v>2</v>
      </c>
      <c r="C5" s="4">
        <f>(31+97+55)/1043</f>
        <v>0.17545541706615533</v>
      </c>
      <c r="D5" s="25">
        <v>4</v>
      </c>
      <c r="E5" s="27">
        <f>7-(((15+30+22)*1)+((12+50+26)*2)+((14+40+28)*3)+((15+37+41)*4)+((19+50+49)*5)+((10+16+23)*6))/(85+223+189)</f>
        <v>3.4889336016096579</v>
      </c>
      <c r="F5" s="19">
        <v>4</v>
      </c>
      <c r="H5" s="5">
        <v>0.14249999999999999</v>
      </c>
      <c r="I5" s="10">
        <f>7-3.73</f>
        <v>3.27</v>
      </c>
      <c r="J5" s="22"/>
      <c r="K5" s="4">
        <v>0.1925</v>
      </c>
      <c r="L5" s="10">
        <f>7-3.34</f>
        <v>3.66</v>
      </c>
      <c r="M5" s="22"/>
      <c r="N5" s="12">
        <v>0.2026</v>
      </c>
      <c r="O5" s="10">
        <f>7-3.48</f>
        <v>3.52</v>
      </c>
    </row>
    <row r="6" spans="1:15" x14ac:dyDescent="0.3">
      <c r="A6">
        <v>3</v>
      </c>
      <c r="B6" t="s">
        <v>3</v>
      </c>
      <c r="C6" s="4">
        <f>(30+103+58)/1043</f>
        <v>0.18312559923298177</v>
      </c>
      <c r="D6" s="25">
        <v>3</v>
      </c>
      <c r="E6" s="27">
        <f>7-(((10+30+19)*1)+((21+46+41)*2)+((24+62+42)*3)+((20+48+41)*4)+((8+28+35)*5)+((2+9+11)*6))/(85+223+189)</f>
        <v>3.816901408450704</v>
      </c>
      <c r="F6" s="19">
        <v>2</v>
      </c>
      <c r="H6" s="4">
        <v>0.15029999999999999</v>
      </c>
      <c r="I6" s="10">
        <f>7-3.34</f>
        <v>3.66</v>
      </c>
      <c r="J6" s="22"/>
      <c r="K6" s="12">
        <v>0.2044</v>
      </c>
      <c r="L6" s="10">
        <f>7-3.11</f>
        <v>3.89</v>
      </c>
      <c r="M6" s="22"/>
      <c r="N6" s="4">
        <v>0.1961</v>
      </c>
      <c r="O6" s="10">
        <f>7-3.01</f>
        <v>3.99</v>
      </c>
    </row>
    <row r="7" spans="1:15" x14ac:dyDescent="0.3">
      <c r="A7">
        <v>4</v>
      </c>
      <c r="B7" t="s">
        <v>15</v>
      </c>
      <c r="C7" s="12">
        <f>(41+103+97)/1043</f>
        <v>0.23106423777564716</v>
      </c>
      <c r="D7" s="26">
        <v>1</v>
      </c>
      <c r="E7" s="32">
        <f>7-(((32+51+60)*1)+((20+49+38)*2)+((8+27+34)*3)+((16+39+29)*4)+((6+39+18)*5)+((3+18+10)*6))/(85+223+189)</f>
        <v>4.1810865191146878</v>
      </c>
      <c r="F7" s="19">
        <v>1</v>
      </c>
      <c r="H7" s="12">
        <v>0.25130000000000002</v>
      </c>
      <c r="I7" s="13">
        <f>7-2.67</f>
        <v>4.33</v>
      </c>
      <c r="J7" s="21"/>
      <c r="K7" s="12">
        <v>0.2044</v>
      </c>
      <c r="L7" s="10">
        <f>7-3.09</f>
        <v>3.91</v>
      </c>
      <c r="M7" s="22"/>
      <c r="N7" s="12">
        <v>0.26800000000000002</v>
      </c>
      <c r="O7" s="13">
        <f>7-2.45</f>
        <v>4.55</v>
      </c>
    </row>
    <row r="8" spans="1:15" x14ac:dyDescent="0.3">
      <c r="A8">
        <v>5</v>
      </c>
      <c r="B8" t="s">
        <v>4</v>
      </c>
      <c r="C8" s="5">
        <f>(18+63+58)/1043</f>
        <v>0.13326941514860979</v>
      </c>
      <c r="D8" s="25">
        <v>5</v>
      </c>
      <c r="E8" s="27">
        <f>7-(((7+34+30)*1)+((12+35+37)*2)+((7+33+27)*3)+((17+42+25)*4)+((28+44+45)*5)+((14+35+25)*6))/(85+223+189)</f>
        <v>3.3682092555331993</v>
      </c>
      <c r="F8" s="19">
        <v>5</v>
      </c>
      <c r="H8" s="4">
        <v>0.15029999999999999</v>
      </c>
      <c r="I8" s="10">
        <f>7-3.49</f>
        <v>3.51</v>
      </c>
      <c r="J8" s="22"/>
      <c r="K8" s="5">
        <v>0.125</v>
      </c>
      <c r="L8" s="10">
        <f>7-3.59</f>
        <v>3.41</v>
      </c>
      <c r="M8" s="22"/>
      <c r="N8" s="5">
        <v>0.1176</v>
      </c>
      <c r="O8" s="6">
        <f>7-4.05</f>
        <v>2.95</v>
      </c>
    </row>
    <row r="9" spans="1:15" x14ac:dyDescent="0.3">
      <c r="A9">
        <v>6</v>
      </c>
      <c r="B9" t="s">
        <v>5</v>
      </c>
      <c r="C9" s="4">
        <f>(12+99+88)/1043</f>
        <v>0.19079578139980824</v>
      </c>
      <c r="D9" s="25">
        <v>2</v>
      </c>
      <c r="E9" s="27">
        <f>7-(((15+60+49)*1)+((9+33+30)*2)+((18+29+27)*3)+((6+32+26)*4)+((12+25+21)*5)+((25+44+36)*6))/(85+223+189)</f>
        <v>3.647887323943662</v>
      </c>
      <c r="F9" s="19">
        <v>3</v>
      </c>
      <c r="H9" s="12">
        <v>0.22800000000000001</v>
      </c>
      <c r="I9" s="10">
        <f>7-3.25</f>
        <v>3.75</v>
      </c>
      <c r="J9" s="22"/>
      <c r="K9" s="16">
        <v>0.19639999999999999</v>
      </c>
      <c r="L9" s="10">
        <f>7-3.27</f>
        <v>3.73</v>
      </c>
      <c r="M9" s="22"/>
      <c r="N9" s="5">
        <v>7.8399999999999997E-2</v>
      </c>
      <c r="O9" s="7">
        <f>7-3.78</f>
        <v>3.22</v>
      </c>
    </row>
    <row r="11" spans="1:15" x14ac:dyDescent="0.3">
      <c r="E11" s="33"/>
      <c r="F11" s="25"/>
      <c r="K11" s="59" t="s">
        <v>11</v>
      </c>
      <c r="L11" s="59"/>
    </row>
    <row r="12" spans="1:15" x14ac:dyDescent="0.3">
      <c r="E12" s="33"/>
      <c r="F12" s="25"/>
      <c r="K12" s="14" t="s">
        <v>10</v>
      </c>
      <c r="L12" s="14" t="s">
        <v>20</v>
      </c>
    </row>
    <row r="13" spans="1:15" x14ac:dyDescent="0.3">
      <c r="E13" s="33"/>
      <c r="F13" s="25"/>
      <c r="K13" s="7" t="s">
        <v>8</v>
      </c>
      <c r="L13" s="8" t="s">
        <v>19</v>
      </c>
      <c r="M13" s="24"/>
    </row>
    <row r="14" spans="1:15" ht="15" thickBot="1" x14ac:dyDescent="0.35">
      <c r="E14" s="34"/>
      <c r="F14" s="25"/>
      <c r="K14" s="6" t="s">
        <v>9</v>
      </c>
      <c r="L14" s="6" t="s">
        <v>18</v>
      </c>
    </row>
    <row r="15" spans="1:15" ht="15" thickBot="1" x14ac:dyDescent="0.35">
      <c r="E15" s="33"/>
      <c r="F15" s="25"/>
      <c r="K15" s="55" t="s">
        <v>37</v>
      </c>
      <c r="L15" s="56"/>
    </row>
    <row r="16" spans="1:15" x14ac:dyDescent="0.3">
      <c r="E16" s="33"/>
      <c r="F16" s="25"/>
    </row>
  </sheetData>
  <mergeCells count="10">
    <mergeCell ref="C1:F1"/>
    <mergeCell ref="C2:F2"/>
    <mergeCell ref="H1:I1"/>
    <mergeCell ref="K1:L1"/>
    <mergeCell ref="N1:O1"/>
    <mergeCell ref="K11:L11"/>
    <mergeCell ref="H2:I2"/>
    <mergeCell ref="K2:L2"/>
    <mergeCell ref="N2:O2"/>
    <mergeCell ref="K15:L15"/>
  </mergeCells>
  <pageMargins left="0.7" right="0.7" top="0.75" bottom="0.75" header="0.3" footer="0.3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ADA2B-3551-4368-BE8E-55D5A7AF632C}">
  <dimension ref="A1:AD115"/>
  <sheetViews>
    <sheetView topLeftCell="A93" workbookViewId="0">
      <selection activeCell="U110" sqref="U110"/>
    </sheetView>
  </sheetViews>
  <sheetFormatPr defaultRowHeight="14.4" x14ac:dyDescent="0.3"/>
  <sheetData>
    <row r="1" spans="1:1" x14ac:dyDescent="0.3">
      <c r="A1" t="s">
        <v>13</v>
      </c>
    </row>
    <row r="2" spans="1:1" x14ac:dyDescent="0.3">
      <c r="A2" t="s">
        <v>14</v>
      </c>
    </row>
    <row r="24" ht="13.8" customHeight="1" x14ac:dyDescent="0.3"/>
    <row r="114" spans="18:30" ht="15" thickBot="1" x14ac:dyDescent="0.35"/>
    <row r="115" spans="18:30" ht="15" thickBot="1" x14ac:dyDescent="0.35">
      <c r="R115" s="39" t="s">
        <v>45</v>
      </c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Overall Option Prioritization</vt:lpstr>
      <vt:lpstr>Overall Demographics</vt:lpstr>
      <vt:lpstr>Westside Option Prior.</vt:lpstr>
      <vt:lpstr>Westside Demographics</vt:lpstr>
      <vt:lpstr>Trail User Option Prior.</vt:lpstr>
      <vt:lpstr>Trail User Demographics</vt:lpstr>
      <vt:lpstr>Resident-Business Option Prior.</vt:lpstr>
      <vt:lpstr>Resident-Business Demographics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Millar, Tom</dc:creator>
  <cp:lastModifiedBy>Millar, Tom</cp:lastModifiedBy>
  <dcterms:created xsi:type="dcterms:W3CDTF">2020-05-11T13:03:10Z</dcterms:created>
  <dcterms:modified xsi:type="dcterms:W3CDTF">2020-05-13T18:40:44Z</dcterms:modified>
</cp:coreProperties>
</file>